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20" tabRatio="772" activeTab="20"/>
  </bookViews>
  <sheets>
    <sheet name="%" sheetId="1" r:id="rId1"/>
    <sheet name="суммы" sheetId="2" r:id="rId2"/>
    <sheet name="янв" sheetId="3" r:id="rId3"/>
    <sheet name="фев" sheetId="4" r:id="rId4"/>
    <sheet name="март" sheetId="5" r:id="rId5"/>
    <sheet name="апр" sheetId="6" r:id="rId6"/>
    <sheet name="май" sheetId="7" r:id="rId7"/>
    <sheet name="июнь" sheetId="8" r:id="rId8"/>
    <sheet name="июль" sheetId="9" r:id="rId9"/>
    <sheet name="авг" sheetId="10" r:id="rId10"/>
    <sheet name="сент" sheetId="11" r:id="rId11"/>
    <sheet name="окт" sheetId="12" r:id="rId12"/>
    <sheet name="нояб" sheetId="13" r:id="rId13"/>
    <sheet name="дек" sheetId="14" r:id="rId14"/>
    <sheet name="1 кв" sheetId="15" r:id="rId15"/>
    <sheet name="2 кв" sheetId="16" r:id="rId16"/>
    <sheet name="1 полуг" sheetId="17" r:id="rId17"/>
    <sheet name="3 кв" sheetId="18" r:id="rId18"/>
    <sheet name="9 мес" sheetId="19" r:id="rId19"/>
    <sheet name="4 кв" sheetId="20" r:id="rId20"/>
    <sheet name="год" sheetId="21" r:id="rId21"/>
  </sheets>
  <definedNames>
    <definedName name="_xlnm.Print_Area" localSheetId="14">'1 кв'!$A$1:$N$47</definedName>
    <definedName name="_xlnm.Print_Area" localSheetId="16">'1 полуг'!$A$1:$N$47</definedName>
    <definedName name="_xlnm.Print_Area" localSheetId="17">'3 кв'!$A$1:$N$47</definedName>
    <definedName name="_xlnm.Print_Area" localSheetId="18">'9 мес'!$A$1:$N$47</definedName>
    <definedName name="_xlnm.Print_Area" localSheetId="9">'авг'!$A$1:$N$47</definedName>
    <definedName name="_xlnm.Print_Area" localSheetId="5">'апр'!$A$1:$N$47</definedName>
    <definedName name="_xlnm.Print_Area" localSheetId="20">'год'!$A$1:$N$47</definedName>
    <definedName name="_xlnm.Print_Area" localSheetId="13">'дек'!$A$1:$N$47</definedName>
    <definedName name="_xlnm.Print_Area" localSheetId="8">'июль'!$A$1:$N$47</definedName>
    <definedName name="_xlnm.Print_Area" localSheetId="7">'июнь'!$A$1:$N$47</definedName>
    <definedName name="_xlnm.Print_Area" localSheetId="6">'май'!$A$1:$N$47</definedName>
    <definedName name="_xlnm.Print_Area" localSheetId="4">'март'!$A$1:$N$47</definedName>
    <definedName name="_xlnm.Print_Area" localSheetId="12">'нояб'!$A$1:$N$47</definedName>
    <definedName name="_xlnm.Print_Area" localSheetId="11">'окт'!$A$1:$N$47</definedName>
    <definedName name="_xlnm.Print_Area" localSheetId="10">'сент'!$A$1:$N$47</definedName>
    <definedName name="_xlnm.Print_Area" localSheetId="3">'фев'!$A$1:$N$47</definedName>
    <definedName name="_xlnm.Print_Area" localSheetId="2">'янв'!$A$1:$N$47</definedName>
  </definedNames>
  <calcPr fullCalcOnLoad="1"/>
</workbook>
</file>

<file path=xl/sharedStrings.xml><?xml version="1.0" encoding="utf-8"?>
<sst xmlns="http://schemas.openxmlformats.org/spreadsheetml/2006/main" count="1356" uniqueCount="101">
  <si>
    <t>Телефон</t>
  </si>
  <si>
    <t>ОБЫЧНЫЕ ГРУППЫ</t>
  </si>
  <si>
    <t>факт</t>
  </si>
  <si>
    <t>% исполнения</t>
  </si>
  <si>
    <t>%    исполнения норм</t>
  </si>
  <si>
    <t>всего</t>
  </si>
  <si>
    <t>мясо</t>
  </si>
  <si>
    <t>птица</t>
  </si>
  <si>
    <t>рыба</t>
  </si>
  <si>
    <t>молоко и кисломолочные продукты</t>
  </si>
  <si>
    <t>творог</t>
  </si>
  <si>
    <t>сметана</t>
  </si>
  <si>
    <t>сыр</t>
  </si>
  <si>
    <t>яйцо (шт)</t>
  </si>
  <si>
    <t>мука</t>
  </si>
  <si>
    <t>крупы,бобовые</t>
  </si>
  <si>
    <t>макароны</t>
  </si>
  <si>
    <t>сахар</t>
  </si>
  <si>
    <t>конд. изд.</t>
  </si>
  <si>
    <t>с/фрукты</t>
  </si>
  <si>
    <t>фрукты</t>
  </si>
  <si>
    <t>соки</t>
  </si>
  <si>
    <t>картофель</t>
  </si>
  <si>
    <t>овощи</t>
  </si>
  <si>
    <t>хлеб ржаной</t>
  </si>
  <si>
    <t>хлеб пшеничный или зерновой</t>
  </si>
  <si>
    <t>Исполнитель</t>
  </si>
  <si>
    <t>ясли</t>
  </si>
  <si>
    <t>Количество детодней, в т.ч.:</t>
  </si>
  <si>
    <t>сад</t>
  </si>
  <si>
    <t>ДОУ №</t>
  </si>
  <si>
    <t>Стоимость питания из 1С</t>
  </si>
  <si>
    <t>Стоимость питания из таблицы</t>
  </si>
  <si>
    <t>Разница (за счет прочих продуктов)</t>
  </si>
  <si>
    <t>План</t>
  </si>
  <si>
    <t>масло сливочное</t>
  </si>
  <si>
    <t>масло растительное</t>
  </si>
  <si>
    <t>Норма на 1 ребенка, кг</t>
  </si>
  <si>
    <t xml:space="preserve">Норма на общее кол-во детодней при 100% выполнении норм, кг.                                                     </t>
  </si>
  <si>
    <t>Фактически  выдано, кг.</t>
  </si>
  <si>
    <t>Средня стоимость 1 детодня, руб.</t>
  </si>
  <si>
    <t>% выполнения норм питания</t>
  </si>
  <si>
    <t>Ясли</t>
  </si>
  <si>
    <t>Сад</t>
  </si>
  <si>
    <t>Общий по учреждению</t>
  </si>
  <si>
    <t>общий</t>
  </si>
  <si>
    <t>Общая стоимость, руб.</t>
  </si>
  <si>
    <t>Средняя цена, руб./кг.</t>
  </si>
  <si>
    <t>Мясные продукты</t>
  </si>
  <si>
    <t>Коэффициент пересчета</t>
  </si>
  <si>
    <t>рыбные консервы</t>
  </si>
  <si>
    <t>молоко сухое</t>
  </si>
  <si>
    <t>молоко сгущеное</t>
  </si>
  <si>
    <t>мясные консервы</t>
  </si>
  <si>
    <t>Итого</t>
  </si>
  <si>
    <t>обычные группы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</si>
  <si>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</si>
  <si>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</si>
  <si>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</si>
  <si>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</si>
  <si>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</si>
  <si>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</si>
  <si>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</si>
  <si>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</si>
  <si>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</si>
  <si>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</si>
  <si>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</si>
  <si>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</si>
  <si>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 квартал</t>
  </si>
  <si>
    <t>2 квартал</t>
  </si>
  <si>
    <t>1 полугодие</t>
  </si>
  <si>
    <t>3 квартал</t>
  </si>
  <si>
    <t>9 месяцев</t>
  </si>
  <si>
    <t>4 квартал</t>
  </si>
  <si>
    <t>год</t>
  </si>
  <si>
    <t>года</t>
  </si>
  <si>
    <r>
      <rPr>
        <sz val="14"/>
        <rFont val="Arial Cyr"/>
        <family val="0"/>
      </rPr>
      <t xml:space="preserve">АНАЛИЗ ВЫПОЛНЕНИЯ НОРМ ПИТАНИЯ за </t>
    </r>
    <r>
      <rPr>
        <b/>
        <sz val="14"/>
        <rFont val="Arial Cyr"/>
        <family val="0"/>
      </rPr>
      <t>ЯНВАРЬ</t>
    </r>
  </si>
  <si>
    <r>
      <rPr>
        <sz val="14"/>
        <rFont val="Arial Cyr"/>
        <family val="0"/>
      </rPr>
      <t>АНАЛИЗ ВЫПОЛНЕНИЯ НОРМ ПИТАНИЯ за ФЕВРАЛЬ</t>
    </r>
  </si>
  <si>
    <r>
      <rPr>
        <sz val="14"/>
        <rFont val="Arial Cyr"/>
        <family val="0"/>
      </rPr>
      <t>АНАЛИЗ ВЫПОЛНЕНИЯ НОРМ ПИТАНИЯ за МАРТ</t>
    </r>
  </si>
  <si>
    <r>
      <rPr>
        <sz val="14"/>
        <rFont val="Arial Cyr"/>
        <family val="0"/>
      </rPr>
      <t>АНАЛИЗ ВЫПОЛНЕНИЯ НОРМ ПИТАНИЯ за ИЮЛЬ</t>
    </r>
  </si>
  <si>
    <r>
      <rPr>
        <sz val="14"/>
        <rFont val="Arial Cyr"/>
        <family val="0"/>
      </rPr>
      <t>АНАЛИЗ ВЫПОЛНЕНИЯ НОРМ ПИТАНИЯ за ИЮНЬ</t>
    </r>
  </si>
  <si>
    <r>
      <rPr>
        <sz val="14"/>
        <rFont val="Arial Cyr"/>
        <family val="0"/>
      </rPr>
      <t>АНАЛИЗ ВЫПОЛНЕНИЯ НОРМ ПИТАНИЯ за МАЙ</t>
    </r>
  </si>
  <si>
    <r>
      <rPr>
        <sz val="14"/>
        <rFont val="Arial Cyr"/>
        <family val="0"/>
      </rPr>
      <t>АНАЛИЗ ВЫПОЛНЕНИЯ НОРМ ПИТАНИЯ за АПРЕЛЬ</t>
    </r>
  </si>
  <si>
    <r>
      <rPr>
        <sz val="14"/>
        <rFont val="Arial Cyr"/>
        <family val="0"/>
      </rPr>
      <t>АНАЛИЗ ВЫПОЛНЕНИЯ НОРМ ПИТАНИЯ за СЕНТЯБРЬ</t>
    </r>
  </si>
  <si>
    <r>
      <rPr>
        <sz val="14"/>
        <rFont val="Arial Cyr"/>
        <family val="0"/>
      </rPr>
      <t>АНАЛИЗ ВЫПОЛНЕНИЯ НОРМ ПИТАНИЯ за АВГУСТ</t>
    </r>
  </si>
  <si>
    <r>
      <rPr>
        <sz val="14"/>
        <rFont val="Arial Cyr"/>
        <family val="0"/>
      </rPr>
      <t>АНАЛИЗ ВЫПОЛНЕНИЯ НОРМ ПИТАНИЯ за ОКТЯБРЬ</t>
    </r>
  </si>
  <si>
    <r>
      <rPr>
        <sz val="14"/>
        <rFont val="Arial Cyr"/>
        <family val="0"/>
      </rPr>
      <t>АНАЛИЗ ВЫПОЛНЕНИЯ НОРМ ПИТАНИЯ за НОЯБРЬ</t>
    </r>
  </si>
  <si>
    <r>
      <rPr>
        <sz val="14"/>
        <rFont val="Arial Cyr"/>
        <family val="0"/>
      </rPr>
      <t>АНАЛИЗ ВЫПОЛНЕНИЯ НОРМ ПИТАНИЯ за ДЕКАБРЬ</t>
    </r>
  </si>
  <si>
    <r>
      <rPr>
        <sz val="14"/>
        <rFont val="Arial Cyr"/>
        <family val="0"/>
      </rPr>
      <t>АНАЛИЗ ВЫПОЛНЕНИЯ НОРМ ПИТАНИЯ за 1 КВАРТАЛ</t>
    </r>
  </si>
  <si>
    <r>
      <rPr>
        <sz val="14"/>
        <rFont val="Arial Cyr"/>
        <family val="0"/>
      </rPr>
      <t xml:space="preserve">АНАЛИЗ ВЫПОЛНЕНИЯ НОРМ ПИТАНИЯ за </t>
    </r>
  </si>
  <si>
    <r>
      <rPr>
        <sz val="14"/>
        <rFont val="Arial Cyr"/>
        <family val="0"/>
      </rPr>
      <t>АНАЛИЗ ВЫПОЛНЕНИЯ НОРМ ПИТАНИЯ за 4 КВАРТАЛ</t>
    </r>
  </si>
  <si>
    <r>
      <rPr>
        <sz val="14"/>
        <rFont val="Arial Cyr"/>
        <family val="0"/>
      </rPr>
      <t>АНАЛИЗ ВЫПОЛНЕНИЯ НОРМ ПИТАНИЯ за 9 МЕСЯЦЕВ</t>
    </r>
  </si>
  <si>
    <r>
      <rPr>
        <sz val="14"/>
        <rFont val="Arial Cyr"/>
        <family val="0"/>
      </rPr>
      <t>АНАЛИЗ ВЫПОЛНЕНИЯ НОРМ ПИТАНИЯ за 3 КВАРТАЛ</t>
    </r>
  </si>
  <si>
    <r>
      <rPr>
        <sz val="14"/>
        <rFont val="Arial Cyr"/>
        <family val="0"/>
      </rPr>
      <t>АНАЛИЗ ВЫПОЛНЕНИЯ НОРМ ПИТАНИЯ за 1 ПОЛУГОДИЕ</t>
    </r>
  </si>
  <si>
    <r>
      <rPr>
        <sz val="14"/>
        <rFont val="Arial Cyr"/>
        <family val="0"/>
      </rPr>
      <t>АНАЛИЗ ВЫПОЛНЕНИЯ НОРМ ПИТАНИЯ за 2 КВАРТАЛ</t>
    </r>
  </si>
  <si>
    <t>суммы</t>
  </si>
  <si>
    <t>ддни</t>
  </si>
  <si>
    <t>субпродукты</t>
  </si>
  <si>
    <t>Коробова И.Н.</t>
  </si>
  <si>
    <t>251-69-29</t>
  </si>
  <si>
    <t>251-29-69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</si>
</sst>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0_ ;[Red]\-#,##0.00\ "/>
    <numFmt numFmtId="176" formatCode="#,##0.0"/>
    <numFmt numFmtId="177" formatCode="#,##0.000_ ;[Red]\-#,##0.000\ "/>
    <numFmt numFmtId="178" formatCode="0.000"/>
    <numFmt numFmtId="179" formatCode="0.0%"/>
    <numFmt numFmtId="180" formatCode="#,##0.0000"/>
    <numFmt numFmtId="181" formatCode="#,##0.00_ ;\-#,##0.00\ "/>
    <numFmt numFmtId="182" formatCode="_-* #,##0.0000_р_._-;\-* #,##0.0000_р_._-;_-* &quot;-&quot;????_р_._-;_-@_-"/>
    <numFmt numFmtId="183" formatCode="_-* #,##0.000_р_._-;\-* #,##0.000_р_._-;_-* &quot;-&quot;???_р_._-;_-@_-"/>
    <numFmt numFmtId="184" formatCode="_-* #,##0.0_р_._-;\-* #,##0.0_р_._-;_-* &quot;-&quot;_р_._-;_-@_-"/>
    <numFmt numFmtId="185" formatCode="_-* #,##0.00_р_._-;\-* #,##0.00_р_._-;_-* &quot;-&quot;_р_._-;_-@_-"/>
    <numFmt numFmtId="186" formatCode="#,##0_ ;\-#,##0\ "/>
  </numFmts>
  <fonts count="52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20"/>
      <name val="Arial Cyr"/>
      <family val="2"/>
    </font>
    <font>
      <sz val="10"/>
      <color indexed="20"/>
      <name val="Arial"/>
      <family val="2"/>
    </font>
    <font>
      <b/>
      <sz val="16"/>
      <name val="Arial Cyr"/>
      <family val="0"/>
    </font>
    <font>
      <b/>
      <sz val="11"/>
      <color indexed="20"/>
      <name val="Arial Cyr"/>
      <family val="2"/>
    </font>
    <font>
      <b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lightUp">
        <bgColor indexed="9"/>
      </patternFill>
    </fill>
    <fill>
      <patternFill patternType="solid">
        <fgColor indexed="13"/>
        <bgColor indexed="64"/>
      </patternFill>
    </fill>
    <fill>
      <patternFill patternType="lightUp"/>
    </fill>
    <fill>
      <patternFill patternType="lightUp">
        <bgColor indexed="49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2" applyNumberFormat="0" applyAlignment="0" applyProtection="0"/>
    <xf numFmtId="0" fontId="41" fillId="24" borderId="1" applyNumberFormat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27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5" borderId="7" applyNumberFormat="0" applyAlignment="0" applyProtection="0"/>
    <xf numFmtId="0" fontId="17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29" borderId="0" applyNumberFormat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10" xfId="0" applyBorder="1" applyAlignment="1" applyProtection="1">
      <alignment vertical="center" wrapText="1"/>
      <protection hidden="1"/>
    </xf>
    <xf numFmtId="0" fontId="0" fillId="30" borderId="10" xfId="0" applyFill="1" applyBorder="1" applyAlignment="1" applyProtection="1">
      <alignment vertical="center" wrapText="1"/>
      <protection hidden="1"/>
    </xf>
    <xf numFmtId="0" fontId="0" fillId="31" borderId="10" xfId="0" applyFill="1" applyBorder="1" applyAlignment="1" applyProtection="1">
      <alignment vertical="center" wrapText="1"/>
      <protection hidden="1"/>
    </xf>
    <xf numFmtId="0" fontId="0" fillId="0" borderId="10" xfId="0" applyBorder="1" applyAlignment="1" applyProtection="1">
      <alignment horizontal="right" vertical="center" wrapText="1"/>
      <protection hidden="1"/>
    </xf>
    <xf numFmtId="0" fontId="0" fillId="0" borderId="11" xfId="0" applyBorder="1" applyAlignment="1" applyProtection="1">
      <alignment horizontal="right" vertical="center" wrapText="1"/>
      <protection hidden="1"/>
    </xf>
    <xf numFmtId="0" fontId="0" fillId="0" borderId="12" xfId="0" applyFill="1" applyBorder="1" applyAlignment="1" applyProtection="1">
      <alignment vertical="center" wrapText="1"/>
      <protection hidden="1"/>
    </xf>
    <xf numFmtId="0" fontId="0" fillId="0" borderId="13" xfId="0" applyFill="1" applyBorder="1" applyAlignment="1" applyProtection="1">
      <alignment vertical="center" wrapText="1"/>
      <protection hidden="1"/>
    </xf>
    <xf numFmtId="173" fontId="0" fillId="0" borderId="10" xfId="0" applyNumberFormat="1" applyBorder="1" applyAlignment="1" applyProtection="1">
      <alignment horizontal="right" vertical="center" wrapText="1"/>
      <protection hidden="1"/>
    </xf>
    <xf numFmtId="0" fontId="0" fillId="0" borderId="14" xfId="0" applyFill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173" fontId="0" fillId="0" borderId="10" xfId="0" applyNumberFormat="1" applyBorder="1" applyAlignment="1" applyProtection="1">
      <alignment vertical="center" wrapText="1"/>
      <protection hidden="1"/>
    </xf>
    <xf numFmtId="0" fontId="0" fillId="0" borderId="11" xfId="0" applyBorder="1" applyAlignment="1" applyProtection="1">
      <alignment vertical="center" wrapText="1"/>
      <protection hidden="1"/>
    </xf>
    <xf numFmtId="179" fontId="3" fillId="0" borderId="11" xfId="0" applyNumberFormat="1" applyFont="1" applyBorder="1" applyAlignment="1" applyProtection="1">
      <alignment vertical="center" wrapText="1"/>
      <protection hidden="1"/>
    </xf>
    <xf numFmtId="179" fontId="0" fillId="0" borderId="10" xfId="0" applyNumberFormat="1" applyBorder="1" applyAlignment="1" applyProtection="1">
      <alignment horizontal="center" vertical="center" wrapText="1"/>
      <protection hidden="1"/>
    </xf>
    <xf numFmtId="179" fontId="0" fillId="0" borderId="11" xfId="0" applyNumberFormat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vertical="center" wrapText="1"/>
      <protection hidden="1"/>
    </xf>
    <xf numFmtId="179" fontId="4" fillId="32" borderId="1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6" fillId="31" borderId="10" xfId="0" applyFont="1" applyFill="1" applyBorder="1" applyAlignment="1" applyProtection="1">
      <alignment horizontal="center" vertical="center"/>
      <protection hidden="1"/>
    </xf>
    <xf numFmtId="0" fontId="6" fillId="31" borderId="10" xfId="0" applyFont="1" applyFill="1" applyBorder="1" applyAlignment="1" applyProtection="1">
      <alignment horizontal="center" vertical="center" wrapText="1"/>
      <protection hidden="1"/>
    </xf>
    <xf numFmtId="0" fontId="7" fillId="0" borderId="10" xfId="0" applyNumberFormat="1" applyFont="1" applyFill="1" applyBorder="1" applyAlignment="1" applyProtection="1">
      <alignment/>
      <protection hidden="1"/>
    </xf>
    <xf numFmtId="174" fontId="10" fillId="0" borderId="10" xfId="0" applyNumberFormat="1" applyFont="1" applyFill="1" applyBorder="1" applyAlignment="1" applyProtection="1">
      <alignment horizontal="center"/>
      <protection hidden="1"/>
    </xf>
    <xf numFmtId="174" fontId="7" fillId="31" borderId="10" xfId="0" applyNumberFormat="1" applyFont="1" applyFill="1" applyBorder="1" applyAlignment="1" applyProtection="1">
      <alignment horizontal="center"/>
      <protection hidden="1"/>
    </xf>
    <xf numFmtId="177" fontId="0" fillId="31" borderId="10" xfId="0" applyNumberFormat="1" applyFill="1" applyBorder="1" applyAlignment="1" applyProtection="1">
      <alignment horizontal="center"/>
      <protection hidden="1"/>
    </xf>
    <xf numFmtId="179" fontId="0" fillId="33" borderId="10" xfId="0" applyNumberFormat="1" applyFont="1" applyFill="1" applyBorder="1" applyAlignment="1" applyProtection="1">
      <alignment horizontal="center"/>
      <protection hidden="1"/>
    </xf>
    <xf numFmtId="179" fontId="3" fillId="33" borderId="10" xfId="0" applyNumberFormat="1" applyFont="1" applyFill="1" applyBorder="1" applyAlignment="1" applyProtection="1">
      <alignment horizontal="center"/>
      <protection hidden="1"/>
    </xf>
    <xf numFmtId="4" fontId="0" fillId="33" borderId="10" xfId="0" applyNumberFormat="1" applyFill="1" applyBorder="1" applyAlignment="1" applyProtection="1">
      <alignment horizontal="center"/>
      <protection hidden="1"/>
    </xf>
    <xf numFmtId="174" fontId="10" fillId="34" borderId="10" xfId="0" applyNumberFormat="1" applyFont="1" applyFill="1" applyBorder="1" applyAlignment="1" applyProtection="1">
      <alignment horizontal="center"/>
      <protection hidden="1"/>
    </xf>
    <xf numFmtId="0" fontId="7" fillId="0" borderId="10" xfId="0" applyNumberFormat="1" applyFont="1" applyBorder="1" applyAlignment="1" applyProtection="1">
      <alignment/>
      <protection hidden="1"/>
    </xf>
    <xf numFmtId="0" fontId="7" fillId="0" borderId="10" xfId="0" applyNumberFormat="1" applyFont="1" applyBorder="1" applyAlignment="1" applyProtection="1">
      <alignment wrapText="1"/>
      <protection hidden="1"/>
    </xf>
    <xf numFmtId="0" fontId="8" fillId="0" borderId="10" xfId="0" applyNumberFormat="1" applyFont="1" applyFill="1" applyBorder="1" applyAlignment="1" applyProtection="1">
      <alignment vertical="center" wrapText="1"/>
      <protection hidden="1"/>
    </xf>
    <xf numFmtId="174" fontId="13" fillId="0" borderId="10" xfId="0" applyNumberFormat="1" applyFont="1" applyFill="1" applyBorder="1" applyAlignment="1" applyProtection="1">
      <alignment horizontal="center" vertical="center" wrapText="1"/>
      <protection hidden="1"/>
    </xf>
    <xf numFmtId="174" fontId="2" fillId="31" borderId="10" xfId="0" applyNumberFormat="1" applyFont="1" applyFill="1" applyBorder="1" applyAlignment="1" applyProtection="1">
      <alignment horizontal="center" vertical="center" wrapText="1"/>
      <protection hidden="1"/>
    </xf>
    <xf numFmtId="4" fontId="1" fillId="32" borderId="1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0" fillId="35" borderId="10" xfId="0" applyFill="1" applyBorder="1" applyAlignment="1" applyProtection="1">
      <alignment vertical="center" wrapText="1"/>
      <protection hidden="1" locked="0"/>
    </xf>
    <xf numFmtId="174" fontId="0" fillId="35" borderId="10" xfId="0" applyNumberFormat="1" applyFill="1" applyBorder="1" applyAlignment="1" applyProtection="1">
      <alignment horizontal="center"/>
      <protection hidden="1" locked="0"/>
    </xf>
    <xf numFmtId="4" fontId="0" fillId="35" borderId="10" xfId="0" applyNumberFormat="1" applyFont="1" applyFill="1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 horizontal="center" vertical="center" wrapText="1"/>
      <protection hidden="1"/>
    </xf>
    <xf numFmtId="177" fontId="0" fillId="0" borderId="0" xfId="0" applyNumberFormat="1" applyAlignment="1" applyProtection="1">
      <alignment vertical="center" wrapText="1"/>
      <protection hidden="1"/>
    </xf>
    <xf numFmtId="174" fontId="0" fillId="0" borderId="0" xfId="0" applyNumberFormat="1" applyAlignment="1" applyProtection="1">
      <alignment vertical="center" wrapText="1"/>
      <protection hidden="1"/>
    </xf>
    <xf numFmtId="0" fontId="9" fillId="0" borderId="10" xfId="0" applyNumberFormat="1" applyFont="1" applyBorder="1" applyAlignment="1" applyProtection="1">
      <alignment horizontal="center" wrapText="1"/>
      <protection hidden="1"/>
    </xf>
    <xf numFmtId="174" fontId="14" fillId="36" borderId="10" xfId="0" applyNumberFormat="1" applyFont="1" applyFill="1" applyBorder="1" applyAlignment="1" applyProtection="1">
      <alignment horizontal="center"/>
      <protection hidden="1"/>
    </xf>
    <xf numFmtId="174" fontId="9" fillId="31" borderId="10" xfId="0" applyNumberFormat="1" applyFont="1" applyFill="1" applyBorder="1" applyAlignment="1" applyProtection="1">
      <alignment horizontal="center"/>
      <protection hidden="1"/>
    </xf>
    <xf numFmtId="177" fontId="3" fillId="31" borderId="10" xfId="0" applyNumberFormat="1" applyFont="1" applyFill="1" applyBorder="1" applyAlignment="1" applyProtection="1">
      <alignment horizontal="center"/>
      <protection hidden="1"/>
    </xf>
    <xf numFmtId="0" fontId="3" fillId="31" borderId="10" xfId="0" applyFont="1" applyFill="1" applyBorder="1" applyAlignment="1" applyProtection="1">
      <alignment horizontal="center" vertical="center" wrapText="1"/>
      <protection hidden="1"/>
    </xf>
    <xf numFmtId="179" fontId="3" fillId="0" borderId="11" xfId="0" applyNumberFormat="1" applyFont="1" applyBorder="1" applyAlignment="1" applyProtection="1">
      <alignment horizontal="right" vertical="center" wrapText="1"/>
      <protection hidden="1"/>
    </xf>
    <xf numFmtId="179" fontId="0" fillId="0" borderId="10" xfId="0" applyNumberFormat="1" applyBorder="1" applyAlignment="1" applyProtection="1">
      <alignment horizontal="right" vertical="center" wrapText="1"/>
      <protection hidden="1"/>
    </xf>
    <xf numFmtId="179" fontId="0" fillId="0" borderId="11" xfId="0" applyNumberFormat="1" applyBorder="1" applyAlignment="1" applyProtection="1">
      <alignment horizontal="right" vertical="center" wrapText="1"/>
      <protection hidden="1"/>
    </xf>
    <xf numFmtId="0" fontId="0" fillId="34" borderId="10" xfId="0" applyFill="1" applyBorder="1" applyAlignment="1" applyProtection="1">
      <alignment vertical="center" wrapText="1"/>
      <protection hidden="1"/>
    </xf>
    <xf numFmtId="171" fontId="0" fillId="30" borderId="10" xfId="0" applyNumberFormat="1" applyFill="1" applyBorder="1" applyAlignment="1" applyProtection="1">
      <alignment vertical="center" wrapText="1"/>
      <protection hidden="1"/>
    </xf>
    <xf numFmtId="174" fontId="0" fillId="31" borderId="10" xfId="0" applyNumberFormat="1" applyFill="1" applyBorder="1" applyAlignment="1" applyProtection="1">
      <alignment horizontal="center"/>
      <protection hidden="1"/>
    </xf>
    <xf numFmtId="4" fontId="0" fillId="31" borderId="10" xfId="0" applyNumberFormat="1" applyFont="1" applyFill="1" applyBorder="1" applyAlignment="1" applyProtection="1">
      <alignment horizontal="center"/>
      <protection hidden="1"/>
    </xf>
    <xf numFmtId="174" fontId="3" fillId="31" borderId="10" xfId="0" applyNumberFormat="1" applyFont="1" applyFill="1" applyBorder="1" applyAlignment="1" applyProtection="1">
      <alignment horizontal="center"/>
      <protection hidden="1"/>
    </xf>
    <xf numFmtId="4" fontId="3" fillId="31" borderId="10" xfId="0" applyNumberFormat="1" applyFont="1" applyFill="1" applyBorder="1" applyAlignment="1" applyProtection="1">
      <alignment horizontal="center"/>
      <protection hidden="1"/>
    </xf>
    <xf numFmtId="4" fontId="2" fillId="31" borderId="15" xfId="0" applyNumberFormat="1" applyFont="1" applyFill="1" applyBorder="1" applyAlignment="1" applyProtection="1">
      <alignment horizontal="center" vertical="center" wrapText="1"/>
      <protection hidden="1"/>
    </xf>
    <xf numFmtId="179" fontId="3" fillId="31" borderId="10" xfId="0" applyNumberFormat="1" applyFont="1" applyFill="1" applyBorder="1" applyAlignment="1" applyProtection="1">
      <alignment horizontal="center"/>
      <protection hidden="1"/>
    </xf>
    <xf numFmtId="4" fontId="3" fillId="37" borderId="10" xfId="0" applyNumberFormat="1" applyFont="1" applyFill="1" applyBorder="1" applyAlignment="1" applyProtection="1">
      <alignment horizontal="center"/>
      <protection hidden="1"/>
    </xf>
    <xf numFmtId="179" fontId="2" fillId="31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vertical="center" wrapText="1"/>
      <protection hidden="1"/>
    </xf>
    <xf numFmtId="174" fontId="10" fillId="0" borderId="17" xfId="0" applyNumberFormat="1" applyFont="1" applyFill="1" applyBorder="1" applyAlignment="1" applyProtection="1">
      <alignment horizontal="center"/>
      <protection hidden="1"/>
    </xf>
    <xf numFmtId="174" fontId="11" fillId="0" borderId="11" xfId="0" applyNumberFormat="1" applyFont="1" applyFill="1" applyBorder="1" applyAlignment="1" applyProtection="1">
      <alignment horizontal="center"/>
      <protection hidden="1"/>
    </xf>
    <xf numFmtId="174" fontId="0" fillId="35" borderId="17" xfId="0" applyNumberFormat="1" applyFill="1" applyBorder="1" applyAlignment="1" applyProtection="1">
      <alignment horizontal="center"/>
      <protection locked="0"/>
    </xf>
    <xf numFmtId="4" fontId="0" fillId="35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30" borderId="10" xfId="0" applyFill="1" applyBorder="1" applyAlignment="1" applyProtection="1">
      <alignment vertical="center" wrapText="1"/>
      <protection/>
    </xf>
    <xf numFmtId="0" fontId="0" fillId="31" borderId="10" xfId="0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11" xfId="0" applyBorder="1" applyAlignment="1" applyProtection="1">
      <alignment horizontal="right" vertical="center" wrapText="1"/>
      <protection/>
    </xf>
    <xf numFmtId="0" fontId="0" fillId="0" borderId="12" xfId="0" applyFill="1" applyBorder="1" applyAlignment="1" applyProtection="1">
      <alignment vertical="center" wrapText="1"/>
      <protection/>
    </xf>
    <xf numFmtId="0" fontId="0" fillId="0" borderId="13" xfId="0" applyFill="1" applyBorder="1" applyAlignment="1" applyProtection="1">
      <alignment vertical="center" wrapText="1"/>
      <protection/>
    </xf>
    <xf numFmtId="0" fontId="0" fillId="0" borderId="14" xfId="0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173" fontId="0" fillId="0" borderId="10" xfId="0" applyNumberForma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179" fontId="3" fillId="0" borderId="11" xfId="0" applyNumberFormat="1" applyFont="1" applyBorder="1" applyAlignment="1" applyProtection="1">
      <alignment vertical="center" wrapText="1"/>
      <protection/>
    </xf>
    <xf numFmtId="177" fontId="0" fillId="0" borderId="0" xfId="0" applyNumberFormat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174" fontId="0" fillId="0" borderId="0" xfId="0" applyNumberFormat="1" applyAlignment="1" applyProtection="1">
      <alignment vertical="center" wrapText="1"/>
      <protection/>
    </xf>
    <xf numFmtId="179" fontId="0" fillId="0" borderId="10" xfId="0" applyNumberFormat="1" applyBorder="1" applyAlignment="1" applyProtection="1">
      <alignment horizontal="center" vertical="center" wrapText="1"/>
      <protection/>
    </xf>
    <xf numFmtId="179" fontId="0" fillId="0" borderId="11" xfId="0" applyNumberFormat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179" fontId="4" fillId="32" borderId="16" xfId="0" applyNumberFormat="1" applyFont="1" applyFill="1" applyBorder="1" applyAlignment="1" applyProtection="1">
      <alignment horizontal="center" vertical="center" wrapText="1"/>
      <protection/>
    </xf>
    <xf numFmtId="0" fontId="3" fillId="31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6" fillId="31" borderId="10" xfId="0" applyFont="1" applyFill="1" applyBorder="1" applyAlignment="1" applyProtection="1">
      <alignment horizontal="center" vertical="center"/>
      <protection/>
    </xf>
    <xf numFmtId="0" fontId="6" fillId="31" borderId="10" xfId="0" applyFont="1" applyFill="1" applyBorder="1" applyAlignment="1" applyProtection="1">
      <alignment horizontal="center" vertical="center" wrapText="1"/>
      <protection/>
    </xf>
    <xf numFmtId="174" fontId="7" fillId="31" borderId="10" xfId="0" applyNumberFormat="1" applyFont="1" applyFill="1" applyBorder="1" applyAlignment="1" applyProtection="1">
      <alignment horizontal="center"/>
      <protection/>
    </xf>
    <xf numFmtId="177" fontId="0" fillId="31" borderId="10" xfId="0" applyNumberFormat="1" applyFill="1" applyBorder="1" applyAlignment="1" applyProtection="1">
      <alignment horizontal="center"/>
      <protection/>
    </xf>
    <xf numFmtId="179" fontId="0" fillId="33" borderId="10" xfId="0" applyNumberFormat="1" applyFont="1" applyFill="1" applyBorder="1" applyAlignment="1" applyProtection="1">
      <alignment horizontal="center"/>
      <protection/>
    </xf>
    <xf numFmtId="179" fontId="3" fillId="33" borderId="10" xfId="0" applyNumberFormat="1" applyFont="1" applyFill="1" applyBorder="1" applyAlignment="1" applyProtection="1">
      <alignment horizontal="center"/>
      <protection/>
    </xf>
    <xf numFmtId="4" fontId="0" fillId="33" borderId="10" xfId="0" applyNumberFormat="1" applyFill="1" applyBorder="1" applyAlignment="1" applyProtection="1">
      <alignment horizontal="center"/>
      <protection/>
    </xf>
    <xf numFmtId="174" fontId="14" fillId="36" borderId="10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Border="1" applyAlignment="1" applyProtection="1">
      <alignment horizontal="center" wrapText="1"/>
      <protection/>
    </xf>
    <xf numFmtId="174" fontId="9" fillId="31" borderId="10" xfId="0" applyNumberFormat="1" applyFont="1" applyFill="1" applyBorder="1" applyAlignment="1" applyProtection="1">
      <alignment horizontal="center"/>
      <protection/>
    </xf>
    <xf numFmtId="174" fontId="3" fillId="31" borderId="10" xfId="0" applyNumberFormat="1" applyFont="1" applyFill="1" applyBorder="1" applyAlignment="1" applyProtection="1">
      <alignment horizontal="center"/>
      <protection/>
    </xf>
    <xf numFmtId="177" fontId="3" fillId="31" borderId="10" xfId="0" applyNumberFormat="1" applyFont="1" applyFill="1" applyBorder="1" applyAlignment="1" applyProtection="1">
      <alignment horizontal="center"/>
      <protection/>
    </xf>
    <xf numFmtId="179" fontId="3" fillId="31" borderId="10" xfId="0" applyNumberFormat="1" applyFont="1" applyFill="1" applyBorder="1" applyAlignment="1" applyProtection="1">
      <alignment horizontal="center"/>
      <protection/>
    </xf>
    <xf numFmtId="4" fontId="3" fillId="31" borderId="10" xfId="0" applyNumberFormat="1" applyFont="1" applyFill="1" applyBorder="1" applyAlignment="1" applyProtection="1">
      <alignment horizontal="center"/>
      <protection/>
    </xf>
    <xf numFmtId="4" fontId="3" fillId="37" borderId="1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174" fontId="13" fillId="0" borderId="10" xfId="0" applyNumberFormat="1" applyFont="1" applyFill="1" applyBorder="1" applyAlignment="1" applyProtection="1">
      <alignment horizontal="center" vertical="center" wrapText="1"/>
      <protection/>
    </xf>
    <xf numFmtId="174" fontId="2" fillId="31" borderId="10" xfId="0" applyNumberFormat="1" applyFont="1" applyFill="1" applyBorder="1" applyAlignment="1" applyProtection="1">
      <alignment horizontal="center" vertical="center" wrapText="1"/>
      <protection/>
    </xf>
    <xf numFmtId="179" fontId="2" fillId="31" borderId="10" xfId="0" applyNumberFormat="1" applyFont="1" applyFill="1" applyBorder="1" applyAlignment="1" applyProtection="1">
      <alignment horizontal="center" vertical="center" wrapText="1"/>
      <protection/>
    </xf>
    <xf numFmtId="4" fontId="2" fillId="31" borderId="15" xfId="0" applyNumberFormat="1" applyFont="1" applyFill="1" applyBorder="1" applyAlignment="1" applyProtection="1">
      <alignment horizontal="center" vertical="center" wrapText="1"/>
      <protection/>
    </xf>
    <xf numFmtId="4" fontId="1" fillId="32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173" fontId="0" fillId="0" borderId="0" xfId="0" applyNumberFormat="1" applyAlignment="1" applyProtection="1">
      <alignment vertical="center" wrapText="1"/>
      <protection hidden="1"/>
    </xf>
    <xf numFmtId="0" fontId="18" fillId="0" borderId="18" xfId="0" applyFont="1" applyBorder="1" applyAlignment="1" applyProtection="1">
      <alignment vertical="center" wrapText="1"/>
      <protection hidden="1"/>
    </xf>
    <xf numFmtId="185" fontId="0" fillId="0" borderId="0" xfId="0" applyNumberFormat="1" applyAlignment="1" applyProtection="1">
      <alignment vertical="center" wrapText="1"/>
      <protection hidden="1"/>
    </xf>
    <xf numFmtId="0" fontId="18" fillId="0" borderId="0" xfId="0" applyFont="1" applyBorder="1" applyAlignment="1" applyProtection="1">
      <alignment vertical="center" wrapText="1"/>
      <protection hidden="1"/>
    </xf>
    <xf numFmtId="171" fontId="0" fillId="0" borderId="0" xfId="0" applyNumberFormat="1" applyAlignment="1" applyProtection="1">
      <alignment vertical="center" wrapText="1"/>
      <protection hidden="1"/>
    </xf>
    <xf numFmtId="4" fontId="0" fillId="0" borderId="0" xfId="0" applyNumberFormat="1" applyAlignment="1" applyProtection="1">
      <alignment vertical="center" wrapText="1"/>
      <protection hidden="1"/>
    </xf>
    <xf numFmtId="171" fontId="0" fillId="0" borderId="0" xfId="0" applyNumberFormat="1" applyBorder="1" applyAlignment="1" applyProtection="1">
      <alignment vertical="center" wrapText="1"/>
      <protection hidden="1"/>
    </xf>
    <xf numFmtId="173" fontId="0" fillId="0" borderId="0" xfId="0" applyNumberForma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 locked="0"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5" fillId="33" borderId="10" xfId="0" applyFont="1" applyFill="1" applyBorder="1" applyAlignment="1" applyProtection="1">
      <alignment vertical="center" wrapText="1"/>
      <protection hidden="1"/>
    </xf>
    <xf numFmtId="4" fontId="5" fillId="0" borderId="10" xfId="0" applyNumberFormat="1" applyFont="1" applyBorder="1" applyAlignment="1" applyProtection="1">
      <alignment vertical="center"/>
      <protection hidden="1"/>
    </xf>
    <xf numFmtId="0" fontId="5" fillId="8" borderId="10" xfId="0" applyFont="1" applyFill="1" applyBorder="1" applyAlignment="1" applyProtection="1">
      <alignment vertical="center" wrapText="1"/>
      <protection hidden="1"/>
    </xf>
    <xf numFmtId="0" fontId="0" fillId="8" borderId="10" xfId="0" applyFill="1" applyBorder="1" applyAlignment="1" applyProtection="1">
      <alignment vertical="center" wrapText="1"/>
      <protection hidden="1"/>
    </xf>
    <xf numFmtId="4" fontId="0" fillId="0" borderId="10" xfId="0" applyNumberFormat="1" applyBorder="1" applyAlignment="1" applyProtection="1">
      <alignment vertical="center"/>
      <protection hidden="1"/>
    </xf>
    <xf numFmtId="181" fontId="0" fillId="30" borderId="19" xfId="0" applyNumberFormat="1" applyFill="1" applyBorder="1" applyAlignment="1" applyProtection="1">
      <alignment horizontal="right" vertical="center" wrapText="1"/>
      <protection hidden="1"/>
    </xf>
    <xf numFmtId="2" fontId="0" fillId="30" borderId="20" xfId="0" applyNumberFormat="1" applyFill="1" applyBorder="1" applyAlignment="1" applyProtection="1">
      <alignment horizontal="right" vertical="center" wrapText="1"/>
      <protection hidden="1"/>
    </xf>
    <xf numFmtId="2" fontId="0" fillId="0" borderId="21" xfId="0" applyNumberFormat="1" applyBorder="1" applyAlignment="1" applyProtection="1">
      <alignment horizontal="right" vertical="center" wrapText="1"/>
      <protection hidden="1"/>
    </xf>
    <xf numFmtId="181" fontId="0" fillId="0" borderId="10" xfId="0" applyNumberFormat="1" applyBorder="1" applyAlignment="1" applyProtection="1">
      <alignment vertical="center" wrapText="1"/>
      <protection hidden="1"/>
    </xf>
    <xf numFmtId="181" fontId="0" fillId="35" borderId="19" xfId="0" applyNumberFormat="1" applyFill="1" applyBorder="1" applyAlignment="1" applyProtection="1">
      <alignment horizontal="right" vertical="center" wrapText="1"/>
      <protection hidden="1" locked="0"/>
    </xf>
    <xf numFmtId="181" fontId="0" fillId="0" borderId="20" xfId="0" applyNumberFormat="1" applyBorder="1" applyAlignment="1" applyProtection="1">
      <alignment horizontal="right" vertical="center" wrapText="1"/>
      <protection hidden="1"/>
    </xf>
    <xf numFmtId="181" fontId="0" fillId="0" borderId="21" xfId="0" applyNumberFormat="1" applyBorder="1" applyAlignment="1" applyProtection="1">
      <alignment horizontal="right" vertical="center" wrapText="1"/>
      <protection hidden="1"/>
    </xf>
    <xf numFmtId="181" fontId="0" fillId="0" borderId="10" xfId="0" applyNumberFormat="1" applyBorder="1" applyAlignment="1" applyProtection="1">
      <alignment horizontal="right" vertical="center" wrapText="1"/>
      <protection hidden="1"/>
    </xf>
    <xf numFmtId="181" fontId="0" fillId="35" borderId="19" xfId="0" applyNumberFormat="1" applyFill="1" applyBorder="1" applyAlignment="1" applyProtection="1">
      <alignment horizontal="right" vertical="center" wrapText="1"/>
      <protection locked="0"/>
    </xf>
    <xf numFmtId="181" fontId="0" fillId="0" borderId="20" xfId="0" applyNumberFormat="1" applyBorder="1" applyAlignment="1" applyProtection="1">
      <alignment horizontal="right" vertical="center" wrapText="1"/>
      <protection/>
    </xf>
    <xf numFmtId="181" fontId="0" fillId="0" borderId="21" xfId="0" applyNumberFormat="1" applyBorder="1" applyAlignment="1" applyProtection="1">
      <alignment horizontal="right" vertical="center" wrapText="1"/>
      <protection/>
    </xf>
    <xf numFmtId="181" fontId="0" fillId="0" borderId="10" xfId="0" applyNumberFormat="1" applyBorder="1" applyAlignment="1" applyProtection="1">
      <alignment vertical="center" wrapText="1"/>
      <protection/>
    </xf>
    <xf numFmtId="186" fontId="0" fillId="31" borderId="10" xfId="0" applyNumberFormat="1" applyFill="1" applyBorder="1" applyAlignment="1" applyProtection="1">
      <alignment horizontal="right" vertical="center" wrapText="1"/>
      <protection hidden="1"/>
    </xf>
    <xf numFmtId="186" fontId="0" fillId="30" borderId="10" xfId="0" applyNumberFormat="1" applyFill="1" applyBorder="1" applyAlignment="1" applyProtection="1">
      <alignment horizontal="right" vertical="center" wrapText="1"/>
      <protection hidden="1"/>
    </xf>
    <xf numFmtId="2" fontId="0" fillId="30" borderId="19" xfId="0" applyNumberFormat="1" applyFill="1" applyBorder="1" applyAlignment="1" applyProtection="1">
      <alignment horizontal="right" vertical="center" wrapText="1"/>
      <protection hidden="1"/>
    </xf>
    <xf numFmtId="186" fontId="0" fillId="30" borderId="11" xfId="0" applyNumberFormat="1" applyFill="1" applyBorder="1" applyAlignment="1" applyProtection="1">
      <alignment horizontal="right" vertical="center" wrapText="1"/>
      <protection hidden="1"/>
    </xf>
    <xf numFmtId="4" fontId="0" fillId="30" borderId="10" xfId="0" applyNumberFormat="1" applyFill="1" applyBorder="1" applyAlignment="1" applyProtection="1">
      <alignment horizontal="right" vertical="center" wrapText="1"/>
      <protection hidden="1"/>
    </xf>
    <xf numFmtId="4" fontId="0" fillId="0" borderId="21" xfId="0" applyNumberFormat="1" applyBorder="1" applyAlignment="1" applyProtection="1">
      <alignment horizontal="right" vertical="center" wrapText="1"/>
      <protection hidden="1"/>
    </xf>
    <xf numFmtId="186" fontId="0" fillId="35" borderId="10" xfId="0" applyNumberFormat="1" applyFill="1" applyBorder="1" applyAlignment="1" applyProtection="1">
      <alignment horizontal="right" vertical="center" wrapText="1"/>
      <protection hidden="1" locked="0"/>
    </xf>
    <xf numFmtId="186" fontId="0" fillId="35" borderId="11" xfId="0" applyNumberFormat="1" applyFill="1" applyBorder="1" applyAlignment="1" applyProtection="1">
      <alignment horizontal="right" vertical="center" wrapText="1"/>
      <protection hidden="1" locked="0"/>
    </xf>
    <xf numFmtId="186" fontId="0" fillId="31" borderId="10" xfId="0" applyNumberFormat="1" applyFill="1" applyBorder="1" applyAlignment="1" applyProtection="1">
      <alignment horizontal="right" vertical="center" wrapText="1"/>
      <protection/>
    </xf>
    <xf numFmtId="186" fontId="0" fillId="35" borderId="10" xfId="0" applyNumberFormat="1" applyFill="1" applyBorder="1" applyAlignment="1" applyProtection="1">
      <alignment horizontal="right" vertical="center" wrapText="1"/>
      <protection locked="0"/>
    </xf>
    <xf numFmtId="186" fontId="0" fillId="35" borderId="11" xfId="0" applyNumberFormat="1" applyFill="1" applyBorder="1" applyAlignment="1" applyProtection="1">
      <alignment horizontal="right" vertical="center" wrapText="1"/>
      <protection locked="0"/>
    </xf>
    <xf numFmtId="37" fontId="0" fillId="31" borderId="10" xfId="0" applyNumberFormat="1" applyFill="1" applyBorder="1" applyAlignment="1" applyProtection="1">
      <alignment horizontal="right" vertical="center" wrapText="1"/>
      <protection hidden="1"/>
    </xf>
    <xf numFmtId="37" fontId="0" fillId="35" borderId="10" xfId="0" applyNumberFormat="1" applyFill="1" applyBorder="1" applyAlignment="1" applyProtection="1">
      <alignment horizontal="right" vertical="center" wrapText="1"/>
      <protection hidden="1" locked="0"/>
    </xf>
    <xf numFmtId="37" fontId="0" fillId="35" borderId="11" xfId="0" applyNumberFormat="1" applyFill="1" applyBorder="1" applyAlignment="1" applyProtection="1">
      <alignment horizontal="right" vertical="center" wrapText="1"/>
      <protection hidden="1" locked="0"/>
    </xf>
    <xf numFmtId="9" fontId="0" fillId="0" borderId="10" xfId="0" applyNumberFormat="1" applyBorder="1" applyAlignment="1">
      <alignment/>
    </xf>
    <xf numFmtId="0" fontId="0" fillId="40" borderId="0" xfId="0" applyFill="1" applyBorder="1" applyAlignment="1" applyProtection="1">
      <alignment vertical="center" wrapText="1"/>
      <protection hidden="1"/>
    </xf>
    <xf numFmtId="4" fontId="0" fillId="35" borderId="10" xfId="0" applyNumberFormat="1" applyFont="1" applyFill="1" applyBorder="1" applyAlignment="1" applyProtection="1">
      <alignment horizontal="center"/>
      <protection hidden="1" locked="0"/>
    </xf>
    <xf numFmtId="0" fontId="20" fillId="35" borderId="10" xfId="0" applyFont="1" applyFill="1" applyBorder="1" applyAlignment="1" applyProtection="1">
      <alignment vertical="center" wrapText="1"/>
      <protection hidden="1" locked="0"/>
    </xf>
    <xf numFmtId="174" fontId="11" fillId="0" borderId="10" xfId="0" applyNumberFormat="1" applyFont="1" applyFill="1" applyBorder="1" applyAlignment="1" applyProtection="1">
      <alignment horizontal="center"/>
      <protection hidden="1"/>
    </xf>
    <xf numFmtId="174" fontId="0" fillId="41" borderId="17" xfId="0" applyNumberFormat="1" applyFill="1" applyBorder="1" applyAlignment="1" applyProtection="1">
      <alignment horizontal="center"/>
      <protection locked="0"/>
    </xf>
    <xf numFmtId="4" fontId="0" fillId="41" borderId="17" xfId="0" applyNumberFormat="1" applyFont="1" applyFill="1" applyBorder="1" applyAlignment="1" applyProtection="1">
      <alignment horizontal="center"/>
      <protection locked="0"/>
    </xf>
    <xf numFmtId="4" fontId="0" fillId="35" borderId="17" xfId="0" applyNumberFormat="1" applyFont="1" applyFill="1" applyBorder="1" applyAlignment="1" applyProtection="1">
      <alignment horizontal="center"/>
      <protection locked="0"/>
    </xf>
    <xf numFmtId="174" fontId="0" fillId="41" borderId="10" xfId="0" applyNumberFormat="1" applyFill="1" applyBorder="1" applyAlignment="1" applyProtection="1">
      <alignment horizontal="center"/>
      <protection hidden="1" locked="0"/>
    </xf>
    <xf numFmtId="0" fontId="7" fillId="40" borderId="10" xfId="0" applyNumberFormat="1" applyFont="1" applyFill="1" applyBorder="1" applyAlignment="1" applyProtection="1">
      <alignment/>
      <protection hidden="1"/>
    </xf>
    <xf numFmtId="0" fontId="7" fillId="40" borderId="10" xfId="0" applyNumberFormat="1" applyFont="1" applyFill="1" applyBorder="1" applyAlignment="1" applyProtection="1">
      <alignment wrapText="1"/>
      <protection hidden="1"/>
    </xf>
    <xf numFmtId="4" fontId="0" fillId="35" borderId="10" xfId="0" applyNumberFormat="1" applyFont="1" applyFill="1" applyBorder="1" applyAlignment="1" applyProtection="1">
      <alignment horizontal="center" vertical="center"/>
      <protection hidden="1" locked="0"/>
    </xf>
    <xf numFmtId="4" fontId="0" fillId="41" borderId="10" xfId="0" applyNumberFormat="1" applyFont="1" applyFill="1" applyBorder="1" applyAlignment="1" applyProtection="1">
      <alignment horizontal="center" vertical="center"/>
      <protection hidden="1" locked="0"/>
    </xf>
    <xf numFmtId="181" fontId="0" fillId="0" borderId="0" xfId="0" applyNumberFormat="1" applyAlignment="1" applyProtection="1">
      <alignment vertical="center" wrapText="1"/>
      <protection hidden="1"/>
    </xf>
    <xf numFmtId="165" fontId="0" fillId="0" borderId="0" xfId="0" applyNumberFormat="1" applyAlignment="1" applyProtection="1">
      <alignment vertical="center" wrapText="1"/>
      <protection hidden="1"/>
    </xf>
    <xf numFmtId="165" fontId="3" fillId="0" borderId="0" xfId="0" applyNumberFormat="1" applyFont="1" applyAlignment="1" applyProtection="1">
      <alignment vertical="center" wrapText="1"/>
      <protection hidden="1"/>
    </xf>
    <xf numFmtId="165" fontId="2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right" vertical="center" wrapText="1"/>
      <protection hidden="1"/>
    </xf>
    <xf numFmtId="4" fontId="0" fillId="31" borderId="10" xfId="0" applyNumberFormat="1" applyFill="1" applyBorder="1" applyAlignment="1" applyProtection="1">
      <alignment horizontal="center" vertical="center" wrapText="1"/>
      <protection hidden="1"/>
    </xf>
    <xf numFmtId="4" fontId="0" fillId="31" borderId="10" xfId="0" applyNumberFormat="1" applyFont="1" applyFill="1" applyBorder="1" applyAlignment="1" applyProtection="1">
      <alignment horizontal="center" vertical="center" wrapText="1"/>
      <protection hidden="1"/>
    </xf>
    <xf numFmtId="0" fontId="12" fillId="30" borderId="22" xfId="0" applyFont="1" applyFill="1" applyBorder="1" applyAlignment="1" applyProtection="1">
      <alignment horizontal="center" vertical="center" wrapText="1"/>
      <protection hidden="1"/>
    </xf>
    <xf numFmtId="0" fontId="12" fillId="30" borderId="0" xfId="0" applyFont="1" applyFill="1" applyBorder="1" applyAlignment="1" applyProtection="1">
      <alignment horizontal="center" vertical="center" wrapText="1"/>
      <protection hidden="1"/>
    </xf>
    <xf numFmtId="0" fontId="0" fillId="35" borderId="10" xfId="0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left" vertical="center" wrapText="1"/>
      <protection hidden="1"/>
    </xf>
    <xf numFmtId="2" fontId="3" fillId="31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31" borderId="10" xfId="0" applyFont="1" applyFill="1" applyBorder="1" applyAlignment="1" applyProtection="1">
      <alignment horizontal="center" vertical="center" wrapText="1"/>
      <protection hidden="1"/>
    </xf>
    <xf numFmtId="1" fontId="5" fillId="31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31" borderId="10" xfId="0" applyFont="1" applyFill="1" applyBorder="1" applyAlignment="1" applyProtection="1">
      <alignment horizontal="center" vertical="center" wrapText="1"/>
      <protection hidden="1"/>
    </xf>
    <xf numFmtId="0" fontId="0" fillId="31" borderId="10" xfId="0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0" fillId="31" borderId="17" xfId="0" applyFill="1" applyBorder="1" applyAlignment="1" applyProtection="1">
      <alignment horizontal="center" vertical="center" wrapText="1"/>
      <protection hidden="1"/>
    </xf>
    <xf numFmtId="0" fontId="3" fillId="31" borderId="23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31" borderId="17" xfId="0" applyFill="1" applyBorder="1" applyAlignment="1" applyProtection="1">
      <alignment horizontal="center" vertical="center" wrapText="1"/>
      <protection/>
    </xf>
    <xf numFmtId="0" fontId="0" fillId="31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1" fontId="5" fillId="31" borderId="10" xfId="0" applyNumberFormat="1" applyFont="1" applyFill="1" applyBorder="1" applyAlignment="1" applyProtection="1">
      <alignment horizontal="center" vertical="center" wrapText="1"/>
      <protection/>
    </xf>
    <xf numFmtId="0" fontId="0" fillId="31" borderId="10" xfId="0" applyFont="1" applyFill="1" applyBorder="1" applyAlignment="1" applyProtection="1">
      <alignment horizontal="center" vertical="center" wrapText="1"/>
      <protection/>
    </xf>
    <xf numFmtId="4" fontId="0" fillId="31" borderId="10" xfId="0" applyNumberFormat="1" applyFill="1" applyBorder="1" applyAlignment="1" applyProtection="1">
      <alignment horizontal="center" vertical="center" wrapText="1"/>
      <protection/>
    </xf>
    <xf numFmtId="4" fontId="0" fillId="31" borderId="10" xfId="0" applyNumberFormat="1" applyFont="1" applyFill="1" applyBorder="1" applyAlignment="1" applyProtection="1">
      <alignment horizontal="center" vertical="center" wrapText="1"/>
      <protection/>
    </xf>
    <xf numFmtId="0" fontId="3" fillId="31" borderId="10" xfId="0" applyFont="1" applyFill="1" applyBorder="1" applyAlignment="1" applyProtection="1">
      <alignment horizontal="center" vertical="center" wrapText="1"/>
      <protection/>
    </xf>
    <xf numFmtId="2" fontId="3" fillId="31" borderId="10" xfId="0" applyNumberFormat="1" applyFont="1" applyFill="1" applyBorder="1" applyAlignment="1" applyProtection="1">
      <alignment horizontal="center" vertical="center" wrapText="1"/>
      <protection/>
    </xf>
    <xf numFmtId="0" fontId="12" fillId="30" borderId="22" xfId="0" applyFont="1" applyFill="1" applyBorder="1" applyAlignment="1" applyProtection="1">
      <alignment horizontal="center" vertical="center" wrapText="1"/>
      <protection/>
    </xf>
    <xf numFmtId="0" fontId="12" fillId="30" borderId="0" xfId="0" applyFont="1" applyFill="1" applyBorder="1" applyAlignment="1" applyProtection="1">
      <alignment horizontal="center" vertical="center" wrapText="1"/>
      <protection/>
    </xf>
    <xf numFmtId="0" fontId="3" fillId="31" borderId="23" xfId="0" applyFont="1" applyFill="1" applyBorder="1" applyAlignment="1" applyProtection="1">
      <alignment horizontal="center" vertical="center" wrapText="1"/>
      <protection/>
    </xf>
    <xf numFmtId="173" fontId="0" fillId="0" borderId="0" xfId="0" applyNumberFormat="1" applyBorder="1" applyAlignment="1" applyProtection="1">
      <alignment horizontal="center" vertical="center" wrapText="1"/>
      <protection hidden="1"/>
    </xf>
    <xf numFmtId="2" fontId="0" fillId="0" borderId="0" xfId="0" applyNumberFormat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1D1D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14.875" style="0" customWidth="1"/>
  </cols>
  <sheetData>
    <row r="1" spans="1:2" ht="21" customHeight="1">
      <c r="A1" s="121" t="s">
        <v>56</v>
      </c>
      <c r="B1" s="154">
        <f>+янв!B18</f>
        <v>0.93241559868804</v>
      </c>
    </row>
    <row r="2" spans="1:2" ht="21" customHeight="1">
      <c r="A2" s="121" t="s">
        <v>57</v>
      </c>
      <c r="B2" s="154">
        <f>+фев!B18</f>
        <v>0.901955458293085</v>
      </c>
    </row>
    <row r="3" spans="1:2" ht="21" customHeight="1">
      <c r="A3" s="121" t="s">
        <v>58</v>
      </c>
      <c r="B3" s="154">
        <f>+март!B18</f>
        <v>0.918879538784636</v>
      </c>
    </row>
    <row r="4" spans="1:2" ht="21" customHeight="1">
      <c r="A4" s="121" t="s">
        <v>59</v>
      </c>
      <c r="B4" s="154">
        <f>+апр!B18</f>
        <v>0.9316897466221682</v>
      </c>
    </row>
    <row r="5" spans="1:2" ht="21" customHeight="1">
      <c r="A5" s="121" t="s">
        <v>60</v>
      </c>
      <c r="B5" s="154">
        <f>+май!B18</f>
        <v>0.8736801977577834</v>
      </c>
    </row>
    <row r="6" spans="1:2" ht="21" customHeight="1">
      <c r="A6" s="121" t="s">
        <v>61</v>
      </c>
      <c r="B6" s="154">
        <f>+июнь!B18</f>
        <v>0.9307859943855243</v>
      </c>
    </row>
    <row r="7" spans="1:2" ht="21" customHeight="1">
      <c r="A7" s="121" t="s">
        <v>62</v>
      </c>
      <c r="B7" s="154">
        <f>+июль!B18</f>
        <v>0.9271924739278566</v>
      </c>
    </row>
    <row r="8" spans="1:2" ht="21" customHeight="1">
      <c r="A8" s="121" t="s">
        <v>63</v>
      </c>
      <c r="B8" s="154">
        <f>+авг!B18</f>
        <v>0.9531174173321907</v>
      </c>
    </row>
    <row r="9" spans="1:2" ht="21" customHeight="1">
      <c r="A9" s="121" t="s">
        <v>64</v>
      </c>
      <c r="B9" s="154">
        <f>+сент!B18</f>
        <v>0.9442547124957852</v>
      </c>
    </row>
    <row r="10" spans="1:2" ht="21" customHeight="1">
      <c r="A10" s="121" t="s">
        <v>65</v>
      </c>
      <c r="B10" s="154">
        <f>+окт!B18</f>
        <v>0.9122351884188731</v>
      </c>
    </row>
    <row r="11" spans="1:2" ht="21" customHeight="1">
      <c r="A11" s="121" t="s">
        <v>66</v>
      </c>
      <c r="B11" s="154">
        <f>+нояб!B18</f>
        <v>0.9219535436990651</v>
      </c>
    </row>
    <row r="12" spans="1:2" ht="21" customHeight="1">
      <c r="A12" s="121" t="s">
        <v>67</v>
      </c>
      <c r="B12" s="154">
        <f>+дек!B18</f>
        <v>0.920556119704637</v>
      </c>
    </row>
    <row r="13" spans="1:2" ht="21" customHeight="1">
      <c r="A13" s="122" t="s">
        <v>68</v>
      </c>
      <c r="B13" s="154">
        <f>+'1 кв'!B18</f>
        <v>0.9178655224583943</v>
      </c>
    </row>
    <row r="14" spans="1:2" ht="21" customHeight="1">
      <c r="A14" s="122" t="s">
        <v>69</v>
      </c>
      <c r="B14" s="154">
        <f>+'2 кв'!B18</f>
        <v>0.9109429115008754</v>
      </c>
    </row>
    <row r="15" spans="1:2" ht="21" customHeight="1">
      <c r="A15" s="122" t="s">
        <v>70</v>
      </c>
      <c r="B15" s="154">
        <f>+'1 полуг'!B18</f>
        <v>0.9142485029144072</v>
      </c>
    </row>
    <row r="16" spans="1:2" ht="21" customHeight="1">
      <c r="A16" s="122" t="s">
        <v>71</v>
      </c>
      <c r="B16" s="154">
        <f>+'3 кв'!B18</f>
        <v>0.9422627368775754</v>
      </c>
    </row>
    <row r="17" spans="1:2" ht="21" customHeight="1">
      <c r="A17" s="122" t="s">
        <v>72</v>
      </c>
      <c r="B17" s="154">
        <f>+'9 мес'!B18</f>
        <v>0.9232469619864483</v>
      </c>
    </row>
    <row r="18" spans="1:2" ht="21" customHeight="1">
      <c r="A18" s="122" t="s">
        <v>73</v>
      </c>
      <c r="B18" s="154">
        <f>+'4 кв'!B18</f>
        <v>0.918188498152803</v>
      </c>
    </row>
    <row r="19" spans="1:2" ht="21" customHeight="1">
      <c r="A19" s="122" t="s">
        <v>74</v>
      </c>
      <c r="B19" s="154">
        <f>+год!B18</f>
        <v>0.9218780163963195</v>
      </c>
    </row>
  </sheetData>
  <sheetProtection password="CC53" sheet="1"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7"/>
  <sheetViews>
    <sheetView zoomScale="90" zoomScaleNormal="90" zoomScalePageLayoutView="0" workbookViewId="0" topLeftCell="A1">
      <selection activeCell="I5" sqref="I5"/>
    </sheetView>
  </sheetViews>
  <sheetFormatPr defaultColWidth="9.125" defaultRowHeight="12.75"/>
  <cols>
    <col min="1" max="1" width="32.625" style="2" customWidth="1"/>
    <col min="2" max="2" width="13.125" style="2" customWidth="1"/>
    <col min="3" max="3" width="12.125" style="2" customWidth="1"/>
    <col min="4" max="12" width="11.375" style="2" customWidth="1"/>
    <col min="13" max="13" width="12.50390625" style="2" customWidth="1"/>
    <col min="14" max="14" width="11.375" style="2" customWidth="1"/>
    <col min="15" max="15" width="10.50390625" style="2" customWidth="1"/>
    <col min="16" max="16384" width="9.125" style="2" customWidth="1"/>
  </cols>
  <sheetData>
    <row r="1" spans="1:14" ht="24" customHeight="1">
      <c r="A1" s="171" t="s">
        <v>84</v>
      </c>
      <c r="B1" s="171"/>
      <c r="C1" s="171"/>
      <c r="D1" s="171"/>
      <c r="E1" s="171"/>
      <c r="F1" s="171"/>
      <c r="G1" s="171"/>
      <c r="H1" s="119">
        <f>янв!H1</f>
        <v>2023</v>
      </c>
      <c r="I1" s="1" t="s">
        <v>75</v>
      </c>
      <c r="J1" s="1"/>
      <c r="K1" s="1"/>
      <c r="L1" s="1"/>
      <c r="M1" s="1"/>
      <c r="N1" s="1"/>
    </row>
    <row r="2" spans="1:7" ht="12.75">
      <c r="A2" s="3" t="s">
        <v>26</v>
      </c>
      <c r="B2" s="157" t="s">
        <v>98</v>
      </c>
      <c r="E2" s="183" t="s">
        <v>55</v>
      </c>
      <c r="F2" s="183"/>
      <c r="G2" s="183"/>
    </row>
    <row r="3" spans="1:2" ht="12.75">
      <c r="A3" s="3" t="s">
        <v>0</v>
      </c>
      <c r="B3" s="38" t="s">
        <v>99</v>
      </c>
    </row>
    <row r="4" spans="1:2" ht="12.75">
      <c r="A4" s="4" t="s">
        <v>30</v>
      </c>
      <c r="B4" s="38">
        <v>448</v>
      </c>
    </row>
    <row r="5" spans="1:2" ht="12.75">
      <c r="A5" s="5" t="s">
        <v>28</v>
      </c>
      <c r="B5" s="140">
        <f>B6+B7</f>
        <v>5678</v>
      </c>
    </row>
    <row r="6" spans="1:2" ht="12.75">
      <c r="A6" s="6" t="s">
        <v>27</v>
      </c>
      <c r="B6" s="146">
        <v>1674</v>
      </c>
    </row>
    <row r="7" spans="1:2" ht="13.5" thickBot="1">
      <c r="A7" s="7" t="s">
        <v>29</v>
      </c>
      <c r="B7" s="147">
        <v>4004</v>
      </c>
    </row>
    <row r="8" spans="1:6" ht="12.75">
      <c r="A8" s="8" t="s">
        <v>31</v>
      </c>
      <c r="B8" s="132">
        <v>804068.49</v>
      </c>
      <c r="C8" s="184"/>
      <c r="D8" s="187"/>
      <c r="E8" s="183"/>
      <c r="F8" s="183"/>
    </row>
    <row r="9" spans="1:6" ht="12.75">
      <c r="A9" s="9" t="s">
        <v>32</v>
      </c>
      <c r="B9" s="133">
        <f>M45</f>
        <v>799232.9899999999</v>
      </c>
      <c r="C9" s="184"/>
      <c r="D9" s="187"/>
      <c r="E9" s="183"/>
      <c r="F9" s="183"/>
    </row>
    <row r="10" spans="1:8" ht="13.5" thickBot="1">
      <c r="A10" s="11" t="s">
        <v>33</v>
      </c>
      <c r="B10" s="134">
        <f>B8-B9</f>
        <v>4835.500000000116</v>
      </c>
      <c r="C10" s="184"/>
      <c r="D10" s="187"/>
      <c r="E10" s="183"/>
      <c r="F10" s="183"/>
      <c r="H10" s="111"/>
    </row>
    <row r="11" spans="1:14" ht="12.75">
      <c r="A11" s="185" t="s">
        <v>40</v>
      </c>
      <c r="B11" s="185"/>
      <c r="C11" s="12"/>
      <c r="N11" s="111"/>
    </row>
    <row r="12" spans="1:3" ht="12.75">
      <c r="A12" s="3" t="s">
        <v>34</v>
      </c>
      <c r="B12" s="13">
        <v>131</v>
      </c>
      <c r="C12" s="12"/>
    </row>
    <row r="13" spans="1:14" ht="12.75" customHeight="1">
      <c r="A13" s="3" t="s">
        <v>2</v>
      </c>
      <c r="B13" s="131">
        <f>IF(M45&gt;0,B8/B5,0)</f>
        <v>141.61121697780908</v>
      </c>
      <c r="C13" s="12"/>
      <c r="L13" s="176" t="s">
        <v>49</v>
      </c>
      <c r="M13" s="176"/>
      <c r="N13" s="176"/>
    </row>
    <row r="14" spans="1:14" ht="12.75">
      <c r="A14" s="14" t="s">
        <v>3</v>
      </c>
      <c r="B14" s="15">
        <f>B13/B12</f>
        <v>1.0810016563191533</v>
      </c>
      <c r="E14" s="42"/>
      <c r="L14" s="177" t="s">
        <v>50</v>
      </c>
      <c r="M14" s="177"/>
      <c r="N14" s="41">
        <v>2</v>
      </c>
    </row>
    <row r="15" spans="1:14" ht="12.75">
      <c r="A15" s="182" t="s">
        <v>41</v>
      </c>
      <c r="B15" s="182"/>
      <c r="C15" s="12"/>
      <c r="E15" s="43"/>
      <c r="L15" s="177" t="s">
        <v>53</v>
      </c>
      <c r="M15" s="177"/>
      <c r="N15" s="41">
        <v>1.25</v>
      </c>
    </row>
    <row r="16" spans="1:14" ht="12.75">
      <c r="A16" s="3" t="s">
        <v>42</v>
      </c>
      <c r="B16" s="16">
        <f>J45</f>
        <v>0.9368231226174384</v>
      </c>
      <c r="C16" s="12"/>
      <c r="L16" s="177" t="s">
        <v>52</v>
      </c>
      <c r="M16" s="177"/>
      <c r="N16" s="41">
        <v>2.63</v>
      </c>
    </row>
    <row r="17" spans="1:14" ht="13.5" thickBot="1">
      <c r="A17" s="3" t="s">
        <v>43</v>
      </c>
      <c r="B17" s="17">
        <f>K45</f>
        <v>0.9593094777985436</v>
      </c>
      <c r="C17" s="12"/>
      <c r="L17" s="177" t="s">
        <v>51</v>
      </c>
      <c r="M17" s="177"/>
      <c r="N17" s="41">
        <v>8.33</v>
      </c>
    </row>
    <row r="18" spans="1:3" ht="18" thickBot="1">
      <c r="A18" s="18" t="s">
        <v>44</v>
      </c>
      <c r="B18" s="19">
        <f>L45</f>
        <v>0.9531174173321907</v>
      </c>
      <c r="C18" s="12"/>
    </row>
    <row r="19" spans="1:14" ht="18.75" customHeight="1">
      <c r="A19" s="174" t="s">
        <v>1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</row>
    <row r="20" spans="1:14" s="20" customFormat="1" ht="39" customHeight="1">
      <c r="A20" s="186"/>
      <c r="B20" s="179" t="s">
        <v>37</v>
      </c>
      <c r="C20" s="179"/>
      <c r="D20" s="178" t="s">
        <v>38</v>
      </c>
      <c r="E20" s="178"/>
      <c r="F20" s="179"/>
      <c r="G20" s="178" t="s">
        <v>39</v>
      </c>
      <c r="H20" s="179"/>
      <c r="I20" s="179"/>
      <c r="J20" s="180" t="s">
        <v>4</v>
      </c>
      <c r="K20" s="181"/>
      <c r="L20" s="181"/>
      <c r="M20" s="172" t="s">
        <v>46</v>
      </c>
      <c r="N20" s="172" t="s">
        <v>47</v>
      </c>
    </row>
    <row r="21" spans="1:14" s="20" customFormat="1" ht="12.75">
      <c r="A21" s="186"/>
      <c r="B21" s="48" t="s">
        <v>27</v>
      </c>
      <c r="C21" s="48" t="s">
        <v>29</v>
      </c>
      <c r="D21" s="21" t="s">
        <v>27</v>
      </c>
      <c r="E21" s="21" t="s">
        <v>29</v>
      </c>
      <c r="F21" s="21" t="s">
        <v>5</v>
      </c>
      <c r="G21" s="21" t="s">
        <v>27</v>
      </c>
      <c r="H21" s="21" t="s">
        <v>29</v>
      </c>
      <c r="I21" s="21" t="s">
        <v>5</v>
      </c>
      <c r="J21" s="21" t="s">
        <v>27</v>
      </c>
      <c r="K21" s="21" t="s">
        <v>29</v>
      </c>
      <c r="L21" s="22" t="s">
        <v>45</v>
      </c>
      <c r="M21" s="173"/>
      <c r="N21" s="173"/>
    </row>
    <row r="22" spans="1:14" ht="12.75">
      <c r="A22" s="23" t="s">
        <v>6</v>
      </c>
      <c r="B22" s="63">
        <v>0.05</v>
      </c>
      <c r="C22" s="63">
        <v>0.055</v>
      </c>
      <c r="D22" s="25">
        <f>B6*B22</f>
        <v>83.7</v>
      </c>
      <c r="E22" s="25">
        <f>B7*C22</f>
        <v>220.22</v>
      </c>
      <c r="F22" s="25">
        <f>D22+E22</f>
        <v>303.92</v>
      </c>
      <c r="G22" s="39">
        <v>72.833</v>
      </c>
      <c r="H22" s="39">
        <v>216.158</v>
      </c>
      <c r="I22" s="26">
        <f>G22+H22</f>
        <v>288.991</v>
      </c>
      <c r="J22" s="27">
        <f>IF(D22&gt;0,G22/D22,0)</f>
        <v>0.8701672640382317</v>
      </c>
      <c r="K22" s="27">
        <f>IF(E22&gt;0,H22/E22,0)</f>
        <v>0.9815548088275361</v>
      </c>
      <c r="L22" s="28">
        <f>IF(I22&gt;0,I22/F22,0)</f>
        <v>0.9508785206633323</v>
      </c>
      <c r="M22" s="40">
        <f>932.12+97228.83</f>
        <v>98160.95</v>
      </c>
      <c r="N22" s="29">
        <f>IF(I22&gt;0,M22/I22,0)</f>
        <v>339.667844327332</v>
      </c>
    </row>
    <row r="23" spans="1:14" ht="12.75">
      <c r="A23" s="23" t="s">
        <v>7</v>
      </c>
      <c r="B23" s="63">
        <v>0.02</v>
      </c>
      <c r="C23" s="63">
        <v>0.024</v>
      </c>
      <c r="D23" s="25">
        <f>B6*B23</f>
        <v>33.480000000000004</v>
      </c>
      <c r="E23" s="25">
        <f>B7*C23</f>
        <v>96.096</v>
      </c>
      <c r="F23" s="25">
        <f aca="true" t="shared" si="0" ref="F23:F43">D23+E23</f>
        <v>129.57600000000002</v>
      </c>
      <c r="G23" s="39">
        <v>30.239</v>
      </c>
      <c r="H23" s="39">
        <v>86.026</v>
      </c>
      <c r="I23" s="26">
        <f aca="true" t="shared" si="1" ref="I23:I43">G23+H23</f>
        <v>116.265</v>
      </c>
      <c r="J23" s="27">
        <f aca="true" t="shared" si="2" ref="J23:L44">IF(D23&gt;0,G23/D23,0)</f>
        <v>0.9031959378733572</v>
      </c>
      <c r="K23" s="27">
        <f t="shared" si="2"/>
        <v>0.8952089577089576</v>
      </c>
      <c r="L23" s="28">
        <f t="shared" si="2"/>
        <v>0.8972726430820521</v>
      </c>
      <c r="M23" s="40">
        <v>25071.1</v>
      </c>
      <c r="N23" s="29">
        <f aca="true" t="shared" si="3" ref="N23:N43">IF(I23&gt;0,M23/I23,0)</f>
        <v>215.6375521438094</v>
      </c>
    </row>
    <row r="24" spans="1:14" ht="12.75">
      <c r="A24" s="23" t="s">
        <v>97</v>
      </c>
      <c r="B24" s="158">
        <v>0.02</v>
      </c>
      <c r="C24" s="63">
        <v>0.025</v>
      </c>
      <c r="D24" s="25">
        <f>B6*B24</f>
        <v>33.480000000000004</v>
      </c>
      <c r="E24" s="25">
        <f>B7*C24</f>
        <v>100.10000000000001</v>
      </c>
      <c r="F24" s="25">
        <f>D24+E24</f>
        <v>133.58</v>
      </c>
      <c r="G24" s="39">
        <v>35.77</v>
      </c>
      <c r="H24" s="39">
        <v>104.093</v>
      </c>
      <c r="I24" s="26">
        <f>G24+H24</f>
        <v>139.863</v>
      </c>
      <c r="J24" s="27">
        <f>IF(D24&gt;0,G24/D24,0)</f>
        <v>1.0683990442054958</v>
      </c>
      <c r="K24" s="27">
        <f>IF(E24&gt;0,H24/E24,0)</f>
        <v>1.0398901098901099</v>
      </c>
      <c r="L24" s="28">
        <f>IF(F24&gt;0,I24/F24,0)</f>
        <v>1.0470354843539451</v>
      </c>
      <c r="M24" s="40">
        <f>19559.05+17543.96</f>
        <v>37103.009999999995</v>
      </c>
      <c r="N24" s="29">
        <f>IF(I24&gt;0,M24/I24,0)</f>
        <v>265.2810965015765</v>
      </c>
    </row>
    <row r="25" spans="1:14" ht="12.75">
      <c r="A25" s="31" t="s">
        <v>8</v>
      </c>
      <c r="B25" s="24">
        <v>0.032</v>
      </c>
      <c r="C25" s="24">
        <v>0.037</v>
      </c>
      <c r="D25" s="25">
        <f>B6*B25</f>
        <v>53.568</v>
      </c>
      <c r="E25" s="25">
        <f>B7*C25</f>
        <v>148.148</v>
      </c>
      <c r="F25" s="25">
        <f t="shared" si="0"/>
        <v>201.716</v>
      </c>
      <c r="G25" s="39">
        <v>49.794</v>
      </c>
      <c r="H25" s="39">
        <v>139.371</v>
      </c>
      <c r="I25" s="26">
        <f t="shared" si="1"/>
        <v>189.16500000000002</v>
      </c>
      <c r="J25" s="27">
        <f t="shared" si="2"/>
        <v>0.9295474910394265</v>
      </c>
      <c r="K25" s="27">
        <f t="shared" si="2"/>
        <v>0.9407551907551909</v>
      </c>
      <c r="L25" s="28">
        <f t="shared" si="2"/>
        <v>0.9377788574034782</v>
      </c>
      <c r="M25" s="40">
        <f>41958.2+1896.55</f>
        <v>43854.75</v>
      </c>
      <c r="N25" s="29">
        <f t="shared" si="3"/>
        <v>231.83332011735783</v>
      </c>
    </row>
    <row r="26" spans="1:14" ht="12.75">
      <c r="A26" s="31" t="s">
        <v>35</v>
      </c>
      <c r="B26" s="24">
        <v>0.018</v>
      </c>
      <c r="C26" s="24">
        <v>0.021</v>
      </c>
      <c r="D26" s="25">
        <f>B6*B26</f>
        <v>30.131999999999998</v>
      </c>
      <c r="E26" s="25">
        <f>B7*C26</f>
        <v>84.084</v>
      </c>
      <c r="F26" s="25">
        <f t="shared" si="0"/>
        <v>114.21600000000001</v>
      </c>
      <c r="G26" s="39">
        <v>31.693</v>
      </c>
      <c r="H26" s="39">
        <v>85.961</v>
      </c>
      <c r="I26" s="26">
        <f t="shared" si="1"/>
        <v>117.654</v>
      </c>
      <c r="J26" s="27">
        <f t="shared" si="2"/>
        <v>1.0518053896190098</v>
      </c>
      <c r="K26" s="27">
        <f t="shared" si="2"/>
        <v>1.022322915180058</v>
      </c>
      <c r="L26" s="28">
        <f t="shared" si="2"/>
        <v>1.0301008615255305</v>
      </c>
      <c r="M26" s="40">
        <v>77128.79</v>
      </c>
      <c r="N26" s="29">
        <f t="shared" si="3"/>
        <v>655.5560371938055</v>
      </c>
    </row>
    <row r="27" spans="1:14" ht="12.75">
      <c r="A27" s="31" t="s">
        <v>36</v>
      </c>
      <c r="B27" s="24">
        <v>0.009</v>
      </c>
      <c r="C27" s="24">
        <v>0.011</v>
      </c>
      <c r="D27" s="25">
        <f>B6*B27</f>
        <v>15.065999999999999</v>
      </c>
      <c r="E27" s="25">
        <f>B7*C27</f>
        <v>44.044</v>
      </c>
      <c r="F27" s="25">
        <f t="shared" si="0"/>
        <v>59.11</v>
      </c>
      <c r="G27" s="39">
        <v>13.363</v>
      </c>
      <c r="H27" s="39">
        <v>44.066</v>
      </c>
      <c r="I27" s="26">
        <f t="shared" si="1"/>
        <v>57.429</v>
      </c>
      <c r="J27" s="27">
        <f t="shared" si="2"/>
        <v>0.8869640249568566</v>
      </c>
      <c r="K27" s="27">
        <f t="shared" si="2"/>
        <v>1.0004995004995005</v>
      </c>
      <c r="L27" s="28">
        <f t="shared" si="2"/>
        <v>0.971561495516833</v>
      </c>
      <c r="M27" s="40">
        <v>6183.82</v>
      </c>
      <c r="N27" s="29">
        <f t="shared" si="3"/>
        <v>107.6776541468596</v>
      </c>
    </row>
    <row r="28" spans="1:14" ht="12.75">
      <c r="A28" s="32" t="s">
        <v>9</v>
      </c>
      <c r="B28" s="24">
        <v>0.39</v>
      </c>
      <c r="C28" s="24">
        <v>0.45</v>
      </c>
      <c r="D28" s="25">
        <f>B6*B28</f>
        <v>652.86</v>
      </c>
      <c r="E28" s="25">
        <f>B7*C28</f>
        <v>1801.8</v>
      </c>
      <c r="F28" s="25">
        <f t="shared" si="0"/>
        <v>2454.66</v>
      </c>
      <c r="G28" s="39">
        <v>635.04</v>
      </c>
      <c r="H28" s="39">
        <v>1699.525</v>
      </c>
      <c r="I28" s="26">
        <f t="shared" si="1"/>
        <v>2334.565</v>
      </c>
      <c r="J28" s="27">
        <f t="shared" si="2"/>
        <v>0.9727047146401985</v>
      </c>
      <c r="K28" s="27">
        <f t="shared" si="2"/>
        <v>0.9432373182373183</v>
      </c>
      <c r="L28" s="28">
        <f t="shared" si="2"/>
        <v>0.9510746905885133</v>
      </c>
      <c r="M28" s="40">
        <f>18711+102411.93+5125.19+21318</f>
        <v>147566.12</v>
      </c>
      <c r="N28" s="29">
        <f t="shared" si="3"/>
        <v>63.209257399130024</v>
      </c>
    </row>
    <row r="29" spans="1:14" ht="12.75">
      <c r="A29" s="31" t="s">
        <v>10</v>
      </c>
      <c r="B29" s="24">
        <v>0.03</v>
      </c>
      <c r="C29" s="24">
        <v>0.04</v>
      </c>
      <c r="D29" s="25">
        <f>B6*B29</f>
        <v>50.22</v>
      </c>
      <c r="E29" s="25">
        <f>B7*C29</f>
        <v>160.16</v>
      </c>
      <c r="F29" s="25">
        <f t="shared" si="0"/>
        <v>210.38</v>
      </c>
      <c r="G29" s="39">
        <v>47.25</v>
      </c>
      <c r="H29" s="39">
        <v>145.829</v>
      </c>
      <c r="I29" s="26">
        <f t="shared" si="1"/>
        <v>193.079</v>
      </c>
      <c r="J29" s="27">
        <f t="shared" si="2"/>
        <v>0.9408602150537635</v>
      </c>
      <c r="K29" s="27">
        <f t="shared" si="2"/>
        <v>0.9105207292707294</v>
      </c>
      <c r="L29" s="28">
        <f t="shared" si="2"/>
        <v>0.9177630953512692</v>
      </c>
      <c r="M29" s="40">
        <v>64686.6</v>
      </c>
      <c r="N29" s="29">
        <f t="shared" si="3"/>
        <v>335.02659533144464</v>
      </c>
    </row>
    <row r="30" spans="1:14" ht="12.75">
      <c r="A30" s="31" t="s">
        <v>11</v>
      </c>
      <c r="B30" s="24">
        <v>0.009</v>
      </c>
      <c r="C30" s="24">
        <v>0.011</v>
      </c>
      <c r="D30" s="25">
        <f>B6*B30</f>
        <v>15.065999999999999</v>
      </c>
      <c r="E30" s="25">
        <f>B7*C30</f>
        <v>44.044</v>
      </c>
      <c r="F30" s="25">
        <f t="shared" si="0"/>
        <v>59.11</v>
      </c>
      <c r="G30" s="39">
        <v>16.064</v>
      </c>
      <c r="H30" s="39">
        <v>44.701</v>
      </c>
      <c r="I30" s="26">
        <f t="shared" si="1"/>
        <v>60.765</v>
      </c>
      <c r="J30" s="27">
        <f t="shared" si="2"/>
        <v>1.0662418691092528</v>
      </c>
      <c r="K30" s="27">
        <f t="shared" si="2"/>
        <v>1.0149169012805377</v>
      </c>
      <c r="L30" s="28">
        <f t="shared" si="2"/>
        <v>1.0279986465911013</v>
      </c>
      <c r="M30" s="40">
        <v>10876.94</v>
      </c>
      <c r="N30" s="29">
        <f t="shared" si="3"/>
        <v>179.00008228420967</v>
      </c>
    </row>
    <row r="31" spans="1:14" ht="12.75">
      <c r="A31" s="31" t="s">
        <v>12</v>
      </c>
      <c r="B31" s="24">
        <v>0.004</v>
      </c>
      <c r="C31" s="24">
        <v>0.006</v>
      </c>
      <c r="D31" s="25">
        <f>B6*B31</f>
        <v>6.696</v>
      </c>
      <c r="E31" s="25">
        <f>B7*C31</f>
        <v>24.024</v>
      </c>
      <c r="F31" s="25">
        <f t="shared" si="0"/>
        <v>30.72</v>
      </c>
      <c r="G31" s="39">
        <v>8.456</v>
      </c>
      <c r="H31" s="39">
        <v>21.662</v>
      </c>
      <c r="I31" s="26">
        <f t="shared" si="1"/>
        <v>30.118</v>
      </c>
      <c r="J31" s="27">
        <f t="shared" si="2"/>
        <v>1.2628434886499402</v>
      </c>
      <c r="K31" s="27">
        <f t="shared" si="2"/>
        <v>0.9016816516816516</v>
      </c>
      <c r="L31" s="28">
        <f t="shared" si="2"/>
        <v>0.9804036458333333</v>
      </c>
      <c r="M31" s="40">
        <v>11178</v>
      </c>
      <c r="N31" s="29">
        <f t="shared" si="3"/>
        <v>371.14018195099277</v>
      </c>
    </row>
    <row r="32" spans="1:14" ht="12.75">
      <c r="A32" s="31" t="s">
        <v>13</v>
      </c>
      <c r="B32" s="24">
        <v>1</v>
      </c>
      <c r="C32" s="24">
        <v>1</v>
      </c>
      <c r="D32" s="25">
        <f>B6*B32</f>
        <v>1674</v>
      </c>
      <c r="E32" s="25">
        <f>B7*C32</f>
        <v>4004</v>
      </c>
      <c r="F32" s="25">
        <f t="shared" si="0"/>
        <v>5678</v>
      </c>
      <c r="G32" s="39">
        <v>1612.8</v>
      </c>
      <c r="H32" s="39">
        <v>4082.7</v>
      </c>
      <c r="I32" s="26">
        <f t="shared" si="1"/>
        <v>5695.5</v>
      </c>
      <c r="J32" s="27">
        <f t="shared" si="2"/>
        <v>0.9634408602150537</v>
      </c>
      <c r="K32" s="27">
        <f t="shared" si="2"/>
        <v>1.0196553446553447</v>
      </c>
      <c r="L32" s="28">
        <f t="shared" si="2"/>
        <v>1.003082071151814</v>
      </c>
      <c r="M32" s="40">
        <v>31273.44</v>
      </c>
      <c r="N32" s="29">
        <f t="shared" si="3"/>
        <v>5.490903344745852</v>
      </c>
    </row>
    <row r="33" spans="1:14" ht="12.75">
      <c r="A33" s="31" t="s">
        <v>14</v>
      </c>
      <c r="B33" s="24">
        <v>0.025</v>
      </c>
      <c r="C33" s="24">
        <v>0.029</v>
      </c>
      <c r="D33" s="25">
        <f>B6*B33</f>
        <v>41.85</v>
      </c>
      <c r="E33" s="25">
        <f>B7*C33</f>
        <v>116.116</v>
      </c>
      <c r="F33" s="25">
        <f t="shared" si="0"/>
        <v>157.966</v>
      </c>
      <c r="G33" s="39">
        <v>35.175</v>
      </c>
      <c r="H33" s="39">
        <v>98.318</v>
      </c>
      <c r="I33" s="26">
        <f t="shared" si="1"/>
        <v>133.493</v>
      </c>
      <c r="J33" s="27">
        <f t="shared" si="2"/>
        <v>0.8405017921146952</v>
      </c>
      <c r="K33" s="27">
        <f t="shared" si="2"/>
        <v>0.8467222432739674</v>
      </c>
      <c r="L33" s="28">
        <f t="shared" si="2"/>
        <v>0.8450742564855728</v>
      </c>
      <c r="M33" s="40">
        <v>3458.25</v>
      </c>
      <c r="N33" s="29">
        <f t="shared" si="3"/>
        <v>25.905852741342244</v>
      </c>
    </row>
    <row r="34" spans="1:14" ht="12.75">
      <c r="A34" s="31" t="s">
        <v>15</v>
      </c>
      <c r="B34" s="24">
        <v>0.03</v>
      </c>
      <c r="C34" s="24">
        <v>0.043</v>
      </c>
      <c r="D34" s="25">
        <f>B6*B34</f>
        <v>50.22</v>
      </c>
      <c r="E34" s="25">
        <f>B7*C34</f>
        <v>172.172</v>
      </c>
      <c r="F34" s="25">
        <f t="shared" si="0"/>
        <v>222.392</v>
      </c>
      <c r="G34" s="39">
        <v>60.094</v>
      </c>
      <c r="H34" s="39">
        <v>179.516</v>
      </c>
      <c r="I34" s="26">
        <f t="shared" si="1"/>
        <v>239.60999999999999</v>
      </c>
      <c r="J34" s="27">
        <f t="shared" si="2"/>
        <v>1.1966148944643569</v>
      </c>
      <c r="K34" s="27">
        <f t="shared" si="2"/>
        <v>1.0426550193992055</v>
      </c>
      <c r="L34" s="28">
        <f t="shared" si="2"/>
        <v>1.077421849706824</v>
      </c>
      <c r="M34" s="40">
        <f>362.11+620.79+1852.29+810.08+874.27+94.49+96.88+160.81+895.42+6207.33</f>
        <v>11974.470000000001</v>
      </c>
      <c r="N34" s="29">
        <f t="shared" si="3"/>
        <v>49.974834105421316</v>
      </c>
    </row>
    <row r="35" spans="1:14" ht="12.75">
      <c r="A35" s="31" t="s">
        <v>16</v>
      </c>
      <c r="B35" s="24">
        <v>0.008</v>
      </c>
      <c r="C35" s="24">
        <v>0.012</v>
      </c>
      <c r="D35" s="25">
        <f>B6*B35</f>
        <v>13.392</v>
      </c>
      <c r="E35" s="25">
        <f>B7*C35</f>
        <v>48.048</v>
      </c>
      <c r="F35" s="25">
        <f t="shared" si="0"/>
        <v>61.44</v>
      </c>
      <c r="G35" s="39">
        <v>12.802</v>
      </c>
      <c r="H35" s="39">
        <v>36.444</v>
      </c>
      <c r="I35" s="26">
        <f t="shared" si="1"/>
        <v>49.246</v>
      </c>
      <c r="J35" s="27">
        <f t="shared" si="2"/>
        <v>0.9559438470728794</v>
      </c>
      <c r="K35" s="27">
        <f t="shared" si="2"/>
        <v>0.7584915084915085</v>
      </c>
      <c r="L35" s="28">
        <f t="shared" si="2"/>
        <v>0.8015299479166668</v>
      </c>
      <c r="M35" s="40">
        <v>1935.46</v>
      </c>
      <c r="N35" s="29">
        <f t="shared" si="3"/>
        <v>39.30187223327783</v>
      </c>
    </row>
    <row r="36" spans="1:14" ht="12.75">
      <c r="A36" s="31" t="s">
        <v>17</v>
      </c>
      <c r="B36" s="24">
        <v>0.025</v>
      </c>
      <c r="C36" s="24">
        <v>0.03</v>
      </c>
      <c r="D36" s="25">
        <f>B6*B36</f>
        <v>41.85</v>
      </c>
      <c r="E36" s="25">
        <f>B7*C36</f>
        <v>120.11999999999999</v>
      </c>
      <c r="F36" s="25">
        <f t="shared" si="0"/>
        <v>161.97</v>
      </c>
      <c r="G36" s="39">
        <v>39.854</v>
      </c>
      <c r="H36" s="39">
        <v>118.177</v>
      </c>
      <c r="I36" s="26">
        <f t="shared" si="1"/>
        <v>158.031</v>
      </c>
      <c r="J36" s="27">
        <f t="shared" si="2"/>
        <v>0.9523058542413381</v>
      </c>
      <c r="K36" s="27">
        <f t="shared" si="2"/>
        <v>0.983824508824509</v>
      </c>
      <c r="L36" s="28">
        <f t="shared" si="2"/>
        <v>0.9756806816077052</v>
      </c>
      <c r="M36" s="40">
        <v>11741.48</v>
      </c>
      <c r="N36" s="29">
        <f t="shared" si="3"/>
        <v>74.29858698609766</v>
      </c>
    </row>
    <row r="37" spans="1:14" ht="12.75">
      <c r="A37" s="31" t="s">
        <v>18</v>
      </c>
      <c r="B37" s="24">
        <v>0.012</v>
      </c>
      <c r="C37" s="24">
        <v>0.02</v>
      </c>
      <c r="D37" s="25">
        <f>B6*B37</f>
        <v>20.088</v>
      </c>
      <c r="E37" s="25">
        <f>B7*C37</f>
        <v>80.08</v>
      </c>
      <c r="F37" s="25">
        <f t="shared" si="0"/>
        <v>100.168</v>
      </c>
      <c r="G37" s="39">
        <v>10.805</v>
      </c>
      <c r="H37" s="39">
        <v>35.401</v>
      </c>
      <c r="I37" s="26">
        <f t="shared" si="1"/>
        <v>46.206</v>
      </c>
      <c r="J37" s="27">
        <f t="shared" si="2"/>
        <v>0.5378833134209478</v>
      </c>
      <c r="K37" s="27">
        <f t="shared" si="2"/>
        <v>0.44207042957042963</v>
      </c>
      <c r="L37" s="28">
        <f t="shared" si="2"/>
        <v>0.4612850411309001</v>
      </c>
      <c r="M37" s="40">
        <f>1856.07+3244.99</f>
        <v>5101.0599999999995</v>
      </c>
      <c r="N37" s="29">
        <f t="shared" si="3"/>
        <v>110.3982166818162</v>
      </c>
    </row>
    <row r="38" spans="1:14" ht="12.75">
      <c r="A38" s="31" t="s">
        <v>19</v>
      </c>
      <c r="B38" s="24">
        <v>0.009</v>
      </c>
      <c r="C38" s="24">
        <v>0.011</v>
      </c>
      <c r="D38" s="25">
        <f>B6*B38</f>
        <v>15.065999999999999</v>
      </c>
      <c r="E38" s="25">
        <f>B7*C38</f>
        <v>44.044</v>
      </c>
      <c r="F38" s="25">
        <f t="shared" si="0"/>
        <v>59.11</v>
      </c>
      <c r="G38" s="39">
        <v>13.726</v>
      </c>
      <c r="H38" s="39">
        <v>40.77</v>
      </c>
      <c r="I38" s="26">
        <f t="shared" si="1"/>
        <v>54.496</v>
      </c>
      <c r="J38" s="27">
        <f t="shared" si="2"/>
        <v>0.9110580114164345</v>
      </c>
      <c r="K38" s="27">
        <f t="shared" si="2"/>
        <v>0.9256652438470622</v>
      </c>
      <c r="L38" s="28">
        <f t="shared" si="2"/>
        <v>0.9219421417695822</v>
      </c>
      <c r="M38" s="40">
        <f>2806.36+4060.54</f>
        <v>6866.9</v>
      </c>
      <c r="N38" s="29">
        <f t="shared" si="3"/>
        <v>126.00741338813857</v>
      </c>
    </row>
    <row r="39" spans="1:14" ht="12.75">
      <c r="A39" s="31" t="s">
        <v>20</v>
      </c>
      <c r="B39" s="24">
        <v>0.095</v>
      </c>
      <c r="C39" s="24">
        <v>0.1</v>
      </c>
      <c r="D39" s="25">
        <f>B6*B39</f>
        <v>159.03</v>
      </c>
      <c r="E39" s="25">
        <f>B7*C39</f>
        <v>400.40000000000003</v>
      </c>
      <c r="F39" s="25">
        <f t="shared" si="0"/>
        <v>559.4300000000001</v>
      </c>
      <c r="G39" s="39">
        <f>0.931+24.29+32.351+7.499+2.118+70.77</f>
        <v>137.959</v>
      </c>
      <c r="H39" s="39">
        <f>2.485+42.77+84.609+20.004+7.144+191.67</f>
        <v>348.682</v>
      </c>
      <c r="I39" s="26">
        <f t="shared" si="1"/>
        <v>486.641</v>
      </c>
      <c r="J39" s="27">
        <f t="shared" si="2"/>
        <v>0.8675029868578256</v>
      </c>
      <c r="K39" s="27">
        <f t="shared" si="2"/>
        <v>0.8708341658341658</v>
      </c>
      <c r="L39" s="28">
        <f t="shared" si="2"/>
        <v>0.8698872066210249</v>
      </c>
      <c r="M39" s="40">
        <f>585.6+11496+1559.42+14035.2+4832.48+19446.39</f>
        <v>51955.09</v>
      </c>
      <c r="N39" s="29">
        <f t="shared" si="3"/>
        <v>106.76266488027107</v>
      </c>
    </row>
    <row r="40" spans="1:14" ht="12.75">
      <c r="A40" s="31" t="s">
        <v>21</v>
      </c>
      <c r="B40" s="24">
        <v>0.1</v>
      </c>
      <c r="C40" s="24">
        <v>0.1</v>
      </c>
      <c r="D40" s="25">
        <f>B6*B40</f>
        <v>167.4</v>
      </c>
      <c r="E40" s="25">
        <f>B7*C40</f>
        <v>400.40000000000003</v>
      </c>
      <c r="F40" s="25">
        <f t="shared" si="0"/>
        <v>567.8000000000001</v>
      </c>
      <c r="G40" s="39">
        <v>122</v>
      </c>
      <c r="H40" s="39">
        <v>349.8</v>
      </c>
      <c r="I40" s="26">
        <f t="shared" si="1"/>
        <v>471.8</v>
      </c>
      <c r="J40" s="27">
        <f t="shared" si="2"/>
        <v>0.7287933094384706</v>
      </c>
      <c r="K40" s="27">
        <f t="shared" si="2"/>
        <v>0.8736263736263736</v>
      </c>
      <c r="L40" s="28">
        <f t="shared" si="2"/>
        <v>0.8309263825290595</v>
      </c>
      <c r="M40" s="40">
        <f>14574.28+10414.68</f>
        <v>24988.96</v>
      </c>
      <c r="N40" s="29">
        <f t="shared" si="3"/>
        <v>52.96515472657906</v>
      </c>
    </row>
    <row r="41" spans="1:14" ht="12.75">
      <c r="A41" s="31" t="s">
        <v>22</v>
      </c>
      <c r="B41" s="63">
        <v>0.12</v>
      </c>
      <c r="C41" s="63">
        <v>0.14</v>
      </c>
      <c r="D41" s="25">
        <f>B6*B41</f>
        <v>200.88</v>
      </c>
      <c r="E41" s="25">
        <f>B7*C41</f>
        <v>560.5600000000001</v>
      </c>
      <c r="F41" s="25">
        <f t="shared" si="0"/>
        <v>761.44</v>
      </c>
      <c r="G41" s="39">
        <v>174.845</v>
      </c>
      <c r="H41" s="39">
        <v>515.773</v>
      </c>
      <c r="I41" s="26">
        <f t="shared" si="1"/>
        <v>690.618</v>
      </c>
      <c r="J41" s="27">
        <f t="shared" si="2"/>
        <v>0.8703952608522502</v>
      </c>
      <c r="K41" s="27">
        <f t="shared" si="2"/>
        <v>0.9201031111745397</v>
      </c>
      <c r="L41" s="28">
        <f t="shared" si="2"/>
        <v>0.9069893885270015</v>
      </c>
      <c r="M41" s="40">
        <v>28767.9</v>
      </c>
      <c r="N41" s="29">
        <f t="shared" si="3"/>
        <v>41.65530003562027</v>
      </c>
    </row>
    <row r="42" spans="1:14" ht="12.75">
      <c r="A42" s="31" t="s">
        <v>23</v>
      </c>
      <c r="B42" s="24">
        <v>0.18</v>
      </c>
      <c r="C42" s="24">
        <v>0.22</v>
      </c>
      <c r="D42" s="25">
        <f>B6*B42</f>
        <v>301.32</v>
      </c>
      <c r="E42" s="25">
        <f>B7*C42</f>
        <v>880.88</v>
      </c>
      <c r="F42" s="25">
        <f t="shared" si="0"/>
        <v>1182.2</v>
      </c>
      <c r="G42" s="39">
        <v>266.626</v>
      </c>
      <c r="H42" s="39">
        <v>817.186</v>
      </c>
      <c r="I42" s="26">
        <f t="shared" si="1"/>
        <v>1083.812</v>
      </c>
      <c r="J42" s="27">
        <f t="shared" si="2"/>
        <v>0.88485994955529</v>
      </c>
      <c r="K42" s="27">
        <f t="shared" si="2"/>
        <v>0.9276927617836709</v>
      </c>
      <c r="L42" s="28">
        <f t="shared" si="2"/>
        <v>0.9167755032989341</v>
      </c>
      <c r="M42" s="40">
        <v>60048.73</v>
      </c>
      <c r="N42" s="29">
        <f t="shared" si="3"/>
        <v>55.4051163854986</v>
      </c>
    </row>
    <row r="43" spans="1:14" ht="12.75">
      <c r="A43" s="31" t="s">
        <v>24</v>
      </c>
      <c r="B43" s="24">
        <v>0.04</v>
      </c>
      <c r="C43" s="24">
        <v>0.05</v>
      </c>
      <c r="D43" s="25">
        <f>B6*B43</f>
        <v>66.96000000000001</v>
      </c>
      <c r="E43" s="25">
        <f>B7*C43</f>
        <v>200.20000000000002</v>
      </c>
      <c r="F43" s="25">
        <f t="shared" si="0"/>
        <v>267.16</v>
      </c>
      <c r="G43" s="39">
        <v>66.476</v>
      </c>
      <c r="H43" s="39">
        <v>181.816</v>
      </c>
      <c r="I43" s="26">
        <f t="shared" si="1"/>
        <v>248.292</v>
      </c>
      <c r="J43" s="27">
        <f t="shared" si="2"/>
        <v>0.9927718040621265</v>
      </c>
      <c r="K43" s="27">
        <f t="shared" si="2"/>
        <v>0.9081718281718281</v>
      </c>
      <c r="L43" s="28">
        <f t="shared" si="2"/>
        <v>0.9293756550381793</v>
      </c>
      <c r="M43" s="40">
        <v>13619.16</v>
      </c>
      <c r="N43" s="29">
        <f t="shared" si="3"/>
        <v>54.8513846599971</v>
      </c>
    </row>
    <row r="44" spans="1:14" ht="12.75">
      <c r="A44" s="32" t="s">
        <v>25</v>
      </c>
      <c r="B44" s="64">
        <v>0.06</v>
      </c>
      <c r="C44" s="64">
        <v>0.08</v>
      </c>
      <c r="D44" s="25">
        <f>B6*B44</f>
        <v>100.44</v>
      </c>
      <c r="E44" s="25">
        <f>B7*C44</f>
        <v>320.32</v>
      </c>
      <c r="F44" s="25">
        <f>D44+E44</f>
        <v>420.76</v>
      </c>
      <c r="G44" s="39">
        <f>49.981+41.356</f>
        <v>91.337</v>
      </c>
      <c r="H44" s="39">
        <v>268.329</v>
      </c>
      <c r="I44" s="26">
        <f>G44+H44</f>
        <v>359.666</v>
      </c>
      <c r="J44" s="27">
        <f t="shared" si="2"/>
        <v>0.9093687773795301</v>
      </c>
      <c r="K44" s="27">
        <f t="shared" si="2"/>
        <v>0.8376904345654346</v>
      </c>
      <c r="L44" s="28">
        <f t="shared" si="2"/>
        <v>0.8548008365814241</v>
      </c>
      <c r="M44" s="40">
        <f>10984.6+14707.41</f>
        <v>25692.010000000002</v>
      </c>
      <c r="N44" s="29">
        <f>IF(I44&gt;0,M44/I44,0)</f>
        <v>71.43296836509428</v>
      </c>
    </row>
    <row r="45" spans="1:14" s="20" customFormat="1" ht="12.75">
      <c r="A45" s="44" t="s">
        <v>54</v>
      </c>
      <c r="B45" s="45"/>
      <c r="C45" s="45"/>
      <c r="D45" s="46">
        <f>SUM(D22:D44)</f>
        <v>3826.764</v>
      </c>
      <c r="E45" s="46">
        <f>SUM(E22:E44)</f>
        <v>10070.059999999998</v>
      </c>
      <c r="F45" s="46">
        <f>D45+E45</f>
        <v>13896.823999999997</v>
      </c>
      <c r="G45" s="56">
        <f>SUM(G22:G44)</f>
        <v>3585.0009999999993</v>
      </c>
      <c r="H45" s="56">
        <f>SUM(H22:H44)</f>
        <v>9660.304</v>
      </c>
      <c r="I45" s="47">
        <f>G45+H45</f>
        <v>13245.305</v>
      </c>
      <c r="J45" s="59">
        <f>IF(G45&gt;0,G45/D45,0)</f>
        <v>0.9368231226174384</v>
      </c>
      <c r="K45" s="59">
        <f>IF(E45&gt;0,H45/E45,0)</f>
        <v>0.9593094777985436</v>
      </c>
      <c r="L45" s="59">
        <f>IF(F45&gt;0,I45/F45,0)</f>
        <v>0.9531174173321907</v>
      </c>
      <c r="M45" s="57">
        <f>SUM(SUM(M22:M44))</f>
        <v>799232.9899999999</v>
      </c>
      <c r="N45" s="60"/>
    </row>
    <row r="46" ht="13.5" thickBot="1"/>
    <row r="47" spans="1:14" s="37" customFormat="1" ht="21" customHeight="1" thickBot="1">
      <c r="A47" s="33" t="s">
        <v>48</v>
      </c>
      <c r="B47" s="34">
        <f>SUM(B22:B24)</f>
        <v>0.09000000000000001</v>
      </c>
      <c r="C47" s="34">
        <f>SUM(C22:C24)</f>
        <v>0.10400000000000001</v>
      </c>
      <c r="D47" s="35">
        <f aca="true" t="shared" si="4" ref="D47:I47">SUM(D22:D24)</f>
        <v>150.66000000000003</v>
      </c>
      <c r="E47" s="35">
        <f t="shared" si="4"/>
        <v>416.41600000000005</v>
      </c>
      <c r="F47" s="35">
        <f t="shared" si="4"/>
        <v>567.076</v>
      </c>
      <c r="G47" s="35">
        <f t="shared" si="4"/>
        <v>138.842</v>
      </c>
      <c r="H47" s="35">
        <f t="shared" si="4"/>
        <v>406.277</v>
      </c>
      <c r="I47" s="35">
        <f t="shared" si="4"/>
        <v>545.1189999999999</v>
      </c>
      <c r="J47" s="61">
        <f>IF(G47=0,0,G47/D47)</f>
        <v>0.9215584760387627</v>
      </c>
      <c r="K47" s="61">
        <f>IF(H47=0,0,H47/E47)</f>
        <v>0.9756517520940596</v>
      </c>
      <c r="L47" s="61">
        <f>IF(I47&gt;0,I47/F47,0)</f>
        <v>0.9612803222143061</v>
      </c>
      <c r="M47" s="58">
        <f>SUM(M22:M24)</f>
        <v>160335.06</v>
      </c>
      <c r="N47" s="36">
        <f>IF(M47=0,0,M47/I47)</f>
        <v>294.128548078493</v>
      </c>
    </row>
  </sheetData>
  <sheetProtection password="CC53" sheet="1" formatCells="0" formatColumns="0" formatRows="0" insertColumns="0" insertRows="0" insertHyperlinks="0" deleteColumns="0" deleteRows="0" sort="0" autoFilter="0" pivotTables="0"/>
  <mergeCells count="19">
    <mergeCell ref="M20:M21"/>
    <mergeCell ref="E2:G2"/>
    <mergeCell ref="A15:B15"/>
    <mergeCell ref="L15:M15"/>
    <mergeCell ref="C8:C10"/>
    <mergeCell ref="D8:F10"/>
    <mergeCell ref="A11:B11"/>
    <mergeCell ref="L13:N13"/>
    <mergeCell ref="L14:M14"/>
    <mergeCell ref="A1:G1"/>
    <mergeCell ref="L16:M16"/>
    <mergeCell ref="L17:M17"/>
    <mergeCell ref="A19:N19"/>
    <mergeCell ref="A20:A21"/>
    <mergeCell ref="B20:C20"/>
    <mergeCell ref="D20:F20"/>
    <mergeCell ref="G20:I20"/>
    <mergeCell ref="N20:N21"/>
    <mergeCell ref="J20:L20"/>
  </mergeCells>
  <printOptions/>
  <pageMargins left="0.31496062992125984" right="0.31496062992125984" top="0.83" bottom="0.35433070866141736" header="0" footer="0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4">
      <selection activeCell="G40" sqref="G40"/>
    </sheetView>
  </sheetViews>
  <sheetFormatPr defaultColWidth="9.125" defaultRowHeight="12.75"/>
  <cols>
    <col min="1" max="1" width="32.625" style="2" customWidth="1"/>
    <col min="2" max="3" width="12.125" style="2" customWidth="1"/>
    <col min="4" max="12" width="11.375" style="2" customWidth="1"/>
    <col min="13" max="13" width="12.50390625" style="2" customWidth="1"/>
    <col min="14" max="14" width="11.375" style="2" customWidth="1"/>
    <col min="15" max="15" width="10.50390625" style="2" customWidth="1"/>
    <col min="16" max="16384" width="9.125" style="2" customWidth="1"/>
  </cols>
  <sheetData>
    <row r="1" spans="1:14" ht="24" customHeight="1">
      <c r="A1" s="171" t="s">
        <v>83</v>
      </c>
      <c r="B1" s="171"/>
      <c r="C1" s="171"/>
      <c r="D1" s="171"/>
      <c r="E1" s="171"/>
      <c r="F1" s="171"/>
      <c r="G1" s="171"/>
      <c r="H1" s="119">
        <f>янв!H1</f>
        <v>2023</v>
      </c>
      <c r="I1" s="1" t="s">
        <v>75</v>
      </c>
      <c r="J1" s="1"/>
      <c r="K1" s="1"/>
      <c r="L1" s="1"/>
      <c r="M1" s="1"/>
      <c r="N1" s="1"/>
    </row>
    <row r="2" spans="1:7" ht="12.75">
      <c r="A2" s="3" t="s">
        <v>26</v>
      </c>
      <c r="B2" s="157" t="s">
        <v>98</v>
      </c>
      <c r="E2" s="183" t="s">
        <v>55</v>
      </c>
      <c r="F2" s="183"/>
      <c r="G2" s="183"/>
    </row>
    <row r="3" spans="1:2" ht="12.75">
      <c r="A3" s="3" t="s">
        <v>0</v>
      </c>
      <c r="B3" s="38" t="s">
        <v>99</v>
      </c>
    </row>
    <row r="4" spans="1:2" ht="12.75">
      <c r="A4" s="4" t="s">
        <v>30</v>
      </c>
      <c r="B4" s="38">
        <v>448</v>
      </c>
    </row>
    <row r="5" spans="1:2" ht="12.75">
      <c r="A5" s="5" t="s">
        <v>28</v>
      </c>
      <c r="B5" s="151">
        <f>B6+B7</f>
        <v>5694</v>
      </c>
    </row>
    <row r="6" spans="1:2" ht="12.75">
      <c r="A6" s="6" t="s">
        <v>27</v>
      </c>
      <c r="B6" s="152">
        <v>630</v>
      </c>
    </row>
    <row r="7" spans="1:2" ht="13.5" thickBot="1">
      <c r="A7" s="7" t="s">
        <v>29</v>
      </c>
      <c r="B7" s="153">
        <v>5064</v>
      </c>
    </row>
    <row r="8" spans="1:6" ht="12.75">
      <c r="A8" s="8" t="s">
        <v>31</v>
      </c>
      <c r="B8" s="132">
        <v>836648.61</v>
      </c>
      <c r="C8" s="184"/>
      <c r="D8" s="187"/>
      <c r="E8" s="183"/>
      <c r="F8" s="183"/>
    </row>
    <row r="9" spans="1:6" ht="12.75">
      <c r="A9" s="9" t="s">
        <v>32</v>
      </c>
      <c r="B9" s="133">
        <f>M45</f>
        <v>831586.6000000003</v>
      </c>
      <c r="C9" s="184"/>
      <c r="D9" s="187"/>
      <c r="E9" s="183"/>
      <c r="F9" s="183"/>
    </row>
    <row r="10" spans="1:6" ht="13.5" thickBot="1">
      <c r="A10" s="11" t="s">
        <v>33</v>
      </c>
      <c r="B10" s="134">
        <f>B8-B9</f>
        <v>5062.00999999966</v>
      </c>
      <c r="C10" s="184"/>
      <c r="D10" s="187"/>
      <c r="E10" s="183"/>
      <c r="F10" s="183"/>
    </row>
    <row r="11" spans="1:3" ht="12.75">
      <c r="A11" s="185" t="s">
        <v>40</v>
      </c>
      <c r="B11" s="185"/>
      <c r="C11" s="12"/>
    </row>
    <row r="12" spans="1:3" ht="12.75">
      <c r="A12" s="3" t="s">
        <v>34</v>
      </c>
      <c r="B12" s="13">
        <v>131</v>
      </c>
      <c r="C12" s="12"/>
    </row>
    <row r="13" spans="1:14" ht="12.75" customHeight="1">
      <c r="A13" s="3" t="s">
        <v>2</v>
      </c>
      <c r="B13" s="131">
        <f>IF(M45&gt;0,B8/B5,0)</f>
        <v>146.93512644889356</v>
      </c>
      <c r="C13" s="12"/>
      <c r="L13" s="176" t="s">
        <v>49</v>
      </c>
      <c r="M13" s="176"/>
      <c r="N13" s="176"/>
    </row>
    <row r="14" spans="1:14" ht="12.75">
      <c r="A14" s="14" t="s">
        <v>3</v>
      </c>
      <c r="B14" s="15">
        <f>B13/B12</f>
        <v>1.1216421866327753</v>
      </c>
      <c r="E14" s="42"/>
      <c r="L14" s="177" t="s">
        <v>50</v>
      </c>
      <c r="M14" s="177"/>
      <c r="N14" s="41">
        <v>2</v>
      </c>
    </row>
    <row r="15" spans="1:14" ht="12.75">
      <c r="A15" s="182" t="s">
        <v>41</v>
      </c>
      <c r="B15" s="182"/>
      <c r="C15" s="12"/>
      <c r="E15" s="43"/>
      <c r="L15" s="177" t="s">
        <v>53</v>
      </c>
      <c r="M15" s="177"/>
      <c r="N15" s="41">
        <v>1.25</v>
      </c>
    </row>
    <row r="16" spans="1:14" ht="12.75">
      <c r="A16" s="3" t="s">
        <v>42</v>
      </c>
      <c r="B16" s="16">
        <f>J45</f>
        <v>0.9248093988251469</v>
      </c>
      <c r="C16" s="12"/>
      <c r="L16" s="177" t="s">
        <v>52</v>
      </c>
      <c r="M16" s="177"/>
      <c r="N16" s="41">
        <v>2.63</v>
      </c>
    </row>
    <row r="17" spans="1:14" ht="13.5" thickBot="1">
      <c r="A17" s="3" t="s">
        <v>43</v>
      </c>
      <c r="B17" s="17">
        <f>K45</f>
        <v>0.9464535849672895</v>
      </c>
      <c r="C17" s="12"/>
      <c r="L17" s="177" t="s">
        <v>51</v>
      </c>
      <c r="M17" s="177"/>
      <c r="N17" s="41">
        <v>8.33</v>
      </c>
    </row>
    <row r="18" spans="1:3" ht="18" thickBot="1">
      <c r="A18" s="18" t="s">
        <v>44</v>
      </c>
      <c r="B18" s="19">
        <f>L45</f>
        <v>0.9442547124957852</v>
      </c>
      <c r="C18" s="12"/>
    </row>
    <row r="19" spans="1:14" ht="18.75" customHeight="1">
      <c r="A19" s="174" t="s">
        <v>1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</row>
    <row r="20" spans="1:14" s="20" customFormat="1" ht="39" customHeight="1">
      <c r="A20" s="186"/>
      <c r="B20" s="179" t="s">
        <v>37</v>
      </c>
      <c r="C20" s="179"/>
      <c r="D20" s="178" t="s">
        <v>38</v>
      </c>
      <c r="E20" s="178"/>
      <c r="F20" s="179"/>
      <c r="G20" s="178" t="s">
        <v>39</v>
      </c>
      <c r="H20" s="179"/>
      <c r="I20" s="179"/>
      <c r="J20" s="180" t="s">
        <v>4</v>
      </c>
      <c r="K20" s="181"/>
      <c r="L20" s="181"/>
      <c r="M20" s="172" t="s">
        <v>46</v>
      </c>
      <c r="N20" s="172" t="s">
        <v>47</v>
      </c>
    </row>
    <row r="21" spans="1:14" s="20" customFormat="1" ht="12.75">
      <c r="A21" s="186"/>
      <c r="B21" s="48" t="s">
        <v>27</v>
      </c>
      <c r="C21" s="48" t="s">
        <v>29</v>
      </c>
      <c r="D21" s="21" t="s">
        <v>27</v>
      </c>
      <c r="E21" s="21" t="s">
        <v>29</v>
      </c>
      <c r="F21" s="21" t="s">
        <v>5</v>
      </c>
      <c r="G21" s="21" t="s">
        <v>27</v>
      </c>
      <c r="H21" s="21" t="s">
        <v>29</v>
      </c>
      <c r="I21" s="21" t="s">
        <v>5</v>
      </c>
      <c r="J21" s="21" t="s">
        <v>27</v>
      </c>
      <c r="K21" s="21" t="s">
        <v>29</v>
      </c>
      <c r="L21" s="22" t="s">
        <v>45</v>
      </c>
      <c r="M21" s="173"/>
      <c r="N21" s="173"/>
    </row>
    <row r="22" spans="1:14" ht="12.75">
      <c r="A22" s="23" t="s">
        <v>6</v>
      </c>
      <c r="B22" s="63">
        <v>0.05</v>
      </c>
      <c r="C22" s="63">
        <v>0.055</v>
      </c>
      <c r="D22" s="25">
        <f>B6*B22</f>
        <v>31.5</v>
      </c>
      <c r="E22" s="25">
        <f>B7*C22</f>
        <v>278.52</v>
      </c>
      <c r="F22" s="25">
        <f>D22+E22</f>
        <v>310.02</v>
      </c>
      <c r="G22" s="39">
        <v>26.927</v>
      </c>
      <c r="H22" s="39">
        <v>266.853</v>
      </c>
      <c r="I22" s="26">
        <f>G22+H22</f>
        <v>293.78000000000003</v>
      </c>
      <c r="J22" s="27">
        <f>IF(D22&gt;0,G22/D22,0)</f>
        <v>0.8548253968253968</v>
      </c>
      <c r="K22" s="27">
        <f>IF(E22&gt;0,H22/E22,0)</f>
        <v>0.9581107281344249</v>
      </c>
      <c r="L22" s="28">
        <f>IF(I22&gt;0,I22/F22,0)</f>
        <v>0.9476162828204634</v>
      </c>
      <c r="M22" s="40">
        <f>1446.39+98869.6</f>
        <v>100315.99</v>
      </c>
      <c r="N22" s="29">
        <f>IF(I22&gt;0,M22/I22,0)</f>
        <v>341.46636939206206</v>
      </c>
    </row>
    <row r="23" spans="1:14" ht="12.75">
      <c r="A23" s="23" t="s">
        <v>7</v>
      </c>
      <c r="B23" s="63">
        <v>0.02</v>
      </c>
      <c r="C23" s="63">
        <v>0.024</v>
      </c>
      <c r="D23" s="25">
        <f>B6*B23</f>
        <v>12.6</v>
      </c>
      <c r="E23" s="25">
        <f>B7*C23</f>
        <v>121.536</v>
      </c>
      <c r="F23" s="25">
        <f aca="true" t="shared" si="0" ref="F23:F43">D23+E23</f>
        <v>134.136</v>
      </c>
      <c r="G23" s="39">
        <v>10.352</v>
      </c>
      <c r="H23" s="39">
        <v>103.062</v>
      </c>
      <c r="I23" s="26">
        <f aca="true" t="shared" si="1" ref="I23:I43">G23+H23</f>
        <v>113.414</v>
      </c>
      <c r="J23" s="27">
        <f aca="true" t="shared" si="2" ref="J23:L44">IF(D23&gt;0,G23/D23,0)</f>
        <v>0.8215873015873016</v>
      </c>
      <c r="K23" s="27">
        <f t="shared" si="2"/>
        <v>0.8479956556082148</v>
      </c>
      <c r="L23" s="28">
        <f t="shared" si="2"/>
        <v>0.8455149997017952</v>
      </c>
      <c r="M23" s="40">
        <v>37804.8</v>
      </c>
      <c r="N23" s="29">
        <f aca="true" t="shared" si="3" ref="N23:N43">IF(I23&gt;0,M23/I23,0)</f>
        <v>333.3345089671469</v>
      </c>
    </row>
    <row r="24" spans="1:14" ht="12.75">
      <c r="A24" s="23" t="s">
        <v>97</v>
      </c>
      <c r="B24" s="158">
        <v>0.02</v>
      </c>
      <c r="C24" s="63">
        <v>0.025</v>
      </c>
      <c r="D24" s="25">
        <f>B6*B24</f>
        <v>12.6</v>
      </c>
      <c r="E24" s="25">
        <f>B7*C24</f>
        <v>126.60000000000001</v>
      </c>
      <c r="F24" s="25">
        <f>D24+E24</f>
        <v>139.20000000000002</v>
      </c>
      <c r="G24" s="39">
        <v>11.586</v>
      </c>
      <c r="H24" s="39">
        <v>124.076</v>
      </c>
      <c r="I24" s="26">
        <f>G24+H24</f>
        <v>135.662</v>
      </c>
      <c r="J24" s="27">
        <f>IF(D24&gt;0,G24/D24,0)</f>
        <v>0.9195238095238095</v>
      </c>
      <c r="K24" s="27">
        <f>IF(E24&gt;0,H24/E24,0)</f>
        <v>0.9800631911532385</v>
      </c>
      <c r="L24" s="28">
        <f>IF(F24&gt;0,I24/F24,0)</f>
        <v>0.9745833333333332</v>
      </c>
      <c r="M24" s="40">
        <f>12094.98+23046.13</f>
        <v>35141.11</v>
      </c>
      <c r="N24" s="29">
        <f>IF(I24&gt;0,M24/I24,0)</f>
        <v>259.03429110583653</v>
      </c>
    </row>
    <row r="25" spans="1:14" ht="12.75">
      <c r="A25" s="31" t="s">
        <v>8</v>
      </c>
      <c r="B25" s="24">
        <v>0.032</v>
      </c>
      <c r="C25" s="24">
        <v>0.037</v>
      </c>
      <c r="D25" s="25">
        <f>B6*B25</f>
        <v>20.16</v>
      </c>
      <c r="E25" s="25">
        <f>B7*C25</f>
        <v>187.368</v>
      </c>
      <c r="F25" s="25">
        <f t="shared" si="0"/>
        <v>207.528</v>
      </c>
      <c r="G25" s="39">
        <v>18.7</v>
      </c>
      <c r="H25" s="39">
        <v>166.601</v>
      </c>
      <c r="I25" s="26">
        <f t="shared" si="1"/>
        <v>185.301</v>
      </c>
      <c r="J25" s="27">
        <f t="shared" si="2"/>
        <v>0.927579365079365</v>
      </c>
      <c r="K25" s="27">
        <f t="shared" si="2"/>
        <v>0.8891646385722215</v>
      </c>
      <c r="L25" s="28">
        <f t="shared" si="2"/>
        <v>0.8928963802474846</v>
      </c>
      <c r="M25" s="40">
        <v>44093.34</v>
      </c>
      <c r="N25" s="29">
        <f t="shared" si="3"/>
        <v>237.95521880615863</v>
      </c>
    </row>
    <row r="26" spans="1:14" ht="12.75">
      <c r="A26" s="31" t="s">
        <v>35</v>
      </c>
      <c r="B26" s="24">
        <v>0.018</v>
      </c>
      <c r="C26" s="24">
        <v>0.021</v>
      </c>
      <c r="D26" s="25">
        <f>B6*B26</f>
        <v>11.34</v>
      </c>
      <c r="E26" s="25">
        <f>B7*C26</f>
        <v>106.34400000000001</v>
      </c>
      <c r="F26" s="25">
        <f t="shared" si="0"/>
        <v>117.68400000000001</v>
      </c>
      <c r="G26" s="39">
        <v>11.935</v>
      </c>
      <c r="H26" s="39">
        <v>109.333</v>
      </c>
      <c r="I26" s="26">
        <f t="shared" si="1"/>
        <v>121.268</v>
      </c>
      <c r="J26" s="27">
        <f t="shared" si="2"/>
        <v>1.0524691358024691</v>
      </c>
      <c r="K26" s="27">
        <f t="shared" si="2"/>
        <v>1.0281068983675619</v>
      </c>
      <c r="L26" s="28">
        <f t="shared" si="2"/>
        <v>1.0304544373066855</v>
      </c>
      <c r="M26" s="40">
        <v>79497.94</v>
      </c>
      <c r="N26" s="29">
        <f t="shared" si="3"/>
        <v>655.5557937790678</v>
      </c>
    </row>
    <row r="27" spans="1:14" ht="12.75">
      <c r="A27" s="31" t="s">
        <v>36</v>
      </c>
      <c r="B27" s="24">
        <v>0.009</v>
      </c>
      <c r="C27" s="24">
        <v>0.011</v>
      </c>
      <c r="D27" s="25">
        <f>B6*B27</f>
        <v>5.67</v>
      </c>
      <c r="E27" s="25">
        <f>B7*C27</f>
        <v>55.70399999999999</v>
      </c>
      <c r="F27" s="25">
        <f t="shared" si="0"/>
        <v>61.373999999999995</v>
      </c>
      <c r="G27" s="39">
        <v>4.948</v>
      </c>
      <c r="H27" s="39">
        <v>55.264</v>
      </c>
      <c r="I27" s="26">
        <f t="shared" si="1"/>
        <v>60.212</v>
      </c>
      <c r="J27" s="27">
        <f t="shared" si="2"/>
        <v>0.8726631393298061</v>
      </c>
      <c r="K27" s="27">
        <f t="shared" si="2"/>
        <v>0.9921011058451819</v>
      </c>
      <c r="L27" s="28">
        <f t="shared" si="2"/>
        <v>0.9810669012937075</v>
      </c>
      <c r="M27" s="40">
        <v>6479.58</v>
      </c>
      <c r="N27" s="29">
        <f t="shared" si="3"/>
        <v>107.61276821895967</v>
      </c>
    </row>
    <row r="28" spans="1:14" ht="12.75">
      <c r="A28" s="32" t="s">
        <v>9</v>
      </c>
      <c r="B28" s="24">
        <v>0.39</v>
      </c>
      <c r="C28" s="24">
        <v>0.45</v>
      </c>
      <c r="D28" s="25">
        <f>B6*B28</f>
        <v>245.70000000000002</v>
      </c>
      <c r="E28" s="25">
        <f>B7*C28</f>
        <v>2278.8</v>
      </c>
      <c r="F28" s="25">
        <f t="shared" si="0"/>
        <v>2524.5</v>
      </c>
      <c r="G28" s="39">
        <v>236.775</v>
      </c>
      <c r="H28" s="39">
        <v>2132.053</v>
      </c>
      <c r="I28" s="26">
        <f t="shared" si="1"/>
        <v>2368.828</v>
      </c>
      <c r="J28" s="27">
        <f t="shared" si="2"/>
        <v>0.9636752136752136</v>
      </c>
      <c r="K28" s="27">
        <f t="shared" si="2"/>
        <v>0.9356033877479374</v>
      </c>
      <c r="L28" s="28">
        <f t="shared" si="2"/>
        <v>0.9383355119825708</v>
      </c>
      <c r="M28" s="40">
        <f>15750+105423.57+4873.82+23805.1</f>
        <v>149852.49000000002</v>
      </c>
      <c r="N28" s="29">
        <f t="shared" si="3"/>
        <v>63.26018182831342</v>
      </c>
    </row>
    <row r="29" spans="1:14" ht="12.75">
      <c r="A29" s="31" t="s">
        <v>10</v>
      </c>
      <c r="B29" s="24">
        <v>0.03</v>
      </c>
      <c r="C29" s="24">
        <v>0.04</v>
      </c>
      <c r="D29" s="25">
        <f>B6*B29</f>
        <v>18.9</v>
      </c>
      <c r="E29" s="25">
        <f>B7*C29</f>
        <v>202.56</v>
      </c>
      <c r="F29" s="25">
        <f t="shared" si="0"/>
        <v>221.46</v>
      </c>
      <c r="G29" s="39">
        <v>17.122</v>
      </c>
      <c r="H29" s="39">
        <v>180.035</v>
      </c>
      <c r="I29" s="26">
        <f t="shared" si="1"/>
        <v>197.15699999999998</v>
      </c>
      <c r="J29" s="27">
        <f t="shared" si="2"/>
        <v>0.905925925925926</v>
      </c>
      <c r="K29" s="27">
        <f t="shared" si="2"/>
        <v>0.8887983807266983</v>
      </c>
      <c r="L29" s="28">
        <f t="shared" si="2"/>
        <v>0.8902600921159576</v>
      </c>
      <c r="M29" s="40">
        <v>66052.8</v>
      </c>
      <c r="N29" s="29">
        <f t="shared" si="3"/>
        <v>335.02640027997995</v>
      </c>
    </row>
    <row r="30" spans="1:14" ht="12.75">
      <c r="A30" s="31" t="s">
        <v>11</v>
      </c>
      <c r="B30" s="24">
        <v>0.009</v>
      </c>
      <c r="C30" s="24">
        <v>0.011</v>
      </c>
      <c r="D30" s="25">
        <f>B6*B30</f>
        <v>5.67</v>
      </c>
      <c r="E30" s="25">
        <f>B7*C30</f>
        <v>55.70399999999999</v>
      </c>
      <c r="F30" s="25">
        <f t="shared" si="0"/>
        <v>61.373999999999995</v>
      </c>
      <c r="G30" s="39">
        <v>5.55</v>
      </c>
      <c r="H30" s="39">
        <v>52.89</v>
      </c>
      <c r="I30" s="26">
        <f t="shared" si="1"/>
        <v>58.44</v>
      </c>
      <c r="J30" s="27">
        <f t="shared" si="2"/>
        <v>0.9788359788359788</v>
      </c>
      <c r="K30" s="27">
        <f t="shared" si="2"/>
        <v>0.949482981473503</v>
      </c>
      <c r="L30" s="28">
        <f t="shared" si="2"/>
        <v>0.9521947404438362</v>
      </c>
      <c r="M30" s="40">
        <v>10460.74</v>
      </c>
      <c r="N30" s="29">
        <f t="shared" si="3"/>
        <v>178.99965776865162</v>
      </c>
    </row>
    <row r="31" spans="1:14" ht="12.75">
      <c r="A31" s="31" t="s">
        <v>12</v>
      </c>
      <c r="B31" s="24">
        <v>0.004</v>
      </c>
      <c r="C31" s="24">
        <v>0.006</v>
      </c>
      <c r="D31" s="25">
        <f>B6*B31</f>
        <v>2.52</v>
      </c>
      <c r="E31" s="25">
        <f>B7*C31</f>
        <v>30.384</v>
      </c>
      <c r="F31" s="25">
        <f t="shared" si="0"/>
        <v>32.904</v>
      </c>
      <c r="G31" s="39">
        <v>2.71</v>
      </c>
      <c r="H31" s="39">
        <v>23.625</v>
      </c>
      <c r="I31" s="26">
        <f t="shared" si="1"/>
        <v>26.335</v>
      </c>
      <c r="J31" s="27">
        <f t="shared" si="2"/>
        <v>1.0753968253968254</v>
      </c>
      <c r="K31" s="27">
        <f t="shared" si="2"/>
        <v>0.777547393364929</v>
      </c>
      <c r="L31" s="28">
        <f t="shared" si="2"/>
        <v>0.800358619012886</v>
      </c>
      <c r="M31" s="40">
        <v>9774</v>
      </c>
      <c r="N31" s="29">
        <f t="shared" si="3"/>
        <v>371.1410670210746</v>
      </c>
    </row>
    <row r="32" spans="1:14" ht="12.75">
      <c r="A32" s="31" t="s">
        <v>13</v>
      </c>
      <c r="B32" s="24">
        <v>1</v>
      </c>
      <c r="C32" s="24">
        <v>1</v>
      </c>
      <c r="D32" s="25">
        <f>B6*B32</f>
        <v>630</v>
      </c>
      <c r="E32" s="25">
        <f>B7*C32</f>
        <v>5064</v>
      </c>
      <c r="F32" s="25">
        <f t="shared" si="0"/>
        <v>5694</v>
      </c>
      <c r="G32" s="39">
        <v>564.4</v>
      </c>
      <c r="H32" s="39">
        <v>4851.8</v>
      </c>
      <c r="I32" s="26">
        <f t="shared" si="1"/>
        <v>5416.2</v>
      </c>
      <c r="J32" s="27">
        <f t="shared" si="2"/>
        <v>0.8958730158730158</v>
      </c>
      <c r="K32" s="27">
        <f t="shared" si="2"/>
        <v>0.9580963665086888</v>
      </c>
      <c r="L32" s="28">
        <f t="shared" si="2"/>
        <v>0.9512118018967334</v>
      </c>
      <c r="M32" s="40">
        <v>35019.93</v>
      </c>
      <c r="N32" s="29">
        <f t="shared" si="3"/>
        <v>6.465774897529633</v>
      </c>
    </row>
    <row r="33" spans="1:14" ht="12.75">
      <c r="A33" s="31" t="s">
        <v>14</v>
      </c>
      <c r="B33" s="24">
        <v>0.025</v>
      </c>
      <c r="C33" s="24">
        <v>0.029</v>
      </c>
      <c r="D33" s="25">
        <f>B6*B33</f>
        <v>15.75</v>
      </c>
      <c r="E33" s="25">
        <f>B7*C33</f>
        <v>146.856</v>
      </c>
      <c r="F33" s="25">
        <f t="shared" si="0"/>
        <v>162.606</v>
      </c>
      <c r="G33" s="39">
        <v>14.464</v>
      </c>
      <c r="H33" s="39">
        <v>136.871</v>
      </c>
      <c r="I33" s="26">
        <f t="shared" si="1"/>
        <v>151.335</v>
      </c>
      <c r="J33" s="27">
        <f t="shared" si="2"/>
        <v>0.9183492063492064</v>
      </c>
      <c r="K33" s="27">
        <f t="shared" si="2"/>
        <v>0.9320082257449476</v>
      </c>
      <c r="L33" s="28">
        <f t="shared" si="2"/>
        <v>0.9306852145677282</v>
      </c>
      <c r="M33" s="40">
        <v>3932.71</v>
      </c>
      <c r="N33" s="29">
        <f t="shared" si="3"/>
        <v>25.986784286516666</v>
      </c>
    </row>
    <row r="34" spans="1:14" ht="12.75">
      <c r="A34" s="31" t="s">
        <v>15</v>
      </c>
      <c r="B34" s="24">
        <v>0.03</v>
      </c>
      <c r="C34" s="24">
        <v>0.043</v>
      </c>
      <c r="D34" s="25">
        <f>B6*B34</f>
        <v>18.9</v>
      </c>
      <c r="E34" s="25">
        <f>B7*C34</f>
        <v>217.75199999999998</v>
      </c>
      <c r="F34" s="25">
        <f t="shared" si="0"/>
        <v>236.652</v>
      </c>
      <c r="G34" s="39">
        <v>20.147</v>
      </c>
      <c r="H34" s="39">
        <v>200.599</v>
      </c>
      <c r="I34" s="26">
        <f t="shared" si="1"/>
        <v>220.74599999999998</v>
      </c>
      <c r="J34" s="27">
        <f t="shared" si="2"/>
        <v>1.065978835978836</v>
      </c>
      <c r="K34" s="27">
        <f t="shared" si="2"/>
        <v>0.9212269003269775</v>
      </c>
      <c r="L34" s="28">
        <f t="shared" si="2"/>
        <v>0.9327873840068962</v>
      </c>
      <c r="M34" s="40">
        <f>378.34+584.04+2326.82+618.78+849.05+40.01+110.31+191.64+718.02+4507.38</f>
        <v>10324.39</v>
      </c>
      <c r="N34" s="29">
        <f t="shared" si="3"/>
        <v>46.77045110670182</v>
      </c>
    </row>
    <row r="35" spans="1:14" ht="12.75">
      <c r="A35" s="31" t="s">
        <v>16</v>
      </c>
      <c r="B35" s="24">
        <v>0.008</v>
      </c>
      <c r="C35" s="24">
        <v>0.012</v>
      </c>
      <c r="D35" s="25">
        <f>B6*B35</f>
        <v>5.04</v>
      </c>
      <c r="E35" s="25">
        <f>B7*C35</f>
        <v>60.768</v>
      </c>
      <c r="F35" s="25">
        <f t="shared" si="0"/>
        <v>65.808</v>
      </c>
      <c r="G35" s="39">
        <v>5.18</v>
      </c>
      <c r="H35" s="39">
        <v>51.779</v>
      </c>
      <c r="I35" s="26">
        <f t="shared" si="1"/>
        <v>56.959</v>
      </c>
      <c r="J35" s="27">
        <f t="shared" si="2"/>
        <v>1.0277777777777777</v>
      </c>
      <c r="K35" s="27">
        <f t="shared" si="2"/>
        <v>0.8520767509215377</v>
      </c>
      <c r="L35" s="28">
        <f t="shared" si="2"/>
        <v>0.8655330658886458</v>
      </c>
      <c r="M35" s="40">
        <v>2225.22</v>
      </c>
      <c r="N35" s="29">
        <f t="shared" si="3"/>
        <v>39.06704822767253</v>
      </c>
    </row>
    <row r="36" spans="1:14" ht="12.75">
      <c r="A36" s="31" t="s">
        <v>17</v>
      </c>
      <c r="B36" s="24">
        <v>0.025</v>
      </c>
      <c r="C36" s="24">
        <v>0.03</v>
      </c>
      <c r="D36" s="25">
        <f>B6*B36</f>
        <v>15.75</v>
      </c>
      <c r="E36" s="25">
        <f>B7*C36</f>
        <v>151.92</v>
      </c>
      <c r="F36" s="25">
        <f t="shared" si="0"/>
        <v>167.67</v>
      </c>
      <c r="G36" s="39">
        <v>14.52</v>
      </c>
      <c r="H36" s="39">
        <v>146.903</v>
      </c>
      <c r="I36" s="26">
        <f t="shared" si="1"/>
        <v>161.423</v>
      </c>
      <c r="J36" s="27">
        <f t="shared" si="2"/>
        <v>0.9219047619047619</v>
      </c>
      <c r="K36" s="27">
        <f t="shared" si="2"/>
        <v>0.9669760400210637</v>
      </c>
      <c r="L36" s="28">
        <f t="shared" si="2"/>
        <v>0.9627422914057375</v>
      </c>
      <c r="M36" s="40">
        <v>12097.55</v>
      </c>
      <c r="N36" s="29">
        <f t="shared" si="3"/>
        <v>74.94316175514021</v>
      </c>
    </row>
    <row r="37" spans="1:14" ht="12.75">
      <c r="A37" s="31" t="s">
        <v>18</v>
      </c>
      <c r="B37" s="24">
        <v>0.012</v>
      </c>
      <c r="C37" s="24">
        <v>0.02</v>
      </c>
      <c r="D37" s="25">
        <f>B6*B37</f>
        <v>7.5600000000000005</v>
      </c>
      <c r="E37" s="25">
        <f>B7*C37</f>
        <v>101.28</v>
      </c>
      <c r="F37" s="25">
        <f t="shared" si="0"/>
        <v>108.84</v>
      </c>
      <c r="G37" s="39">
        <v>5.628</v>
      </c>
      <c r="H37" s="39">
        <v>54.87</v>
      </c>
      <c r="I37" s="26">
        <f t="shared" si="1"/>
        <v>60.498</v>
      </c>
      <c r="J37" s="27">
        <f t="shared" si="2"/>
        <v>0.7444444444444445</v>
      </c>
      <c r="K37" s="27">
        <f t="shared" si="2"/>
        <v>0.5417654028436019</v>
      </c>
      <c r="L37" s="28">
        <f t="shared" si="2"/>
        <v>0.5558434399117971</v>
      </c>
      <c r="M37" s="40">
        <f>3827.43+3026.6</f>
        <v>6854.03</v>
      </c>
      <c r="N37" s="29">
        <f t="shared" si="3"/>
        <v>113.29349730569605</v>
      </c>
    </row>
    <row r="38" spans="1:14" ht="12.75">
      <c r="A38" s="31" t="s">
        <v>19</v>
      </c>
      <c r="B38" s="24">
        <v>0.009</v>
      </c>
      <c r="C38" s="24">
        <v>0.011</v>
      </c>
      <c r="D38" s="25">
        <f>B6*B38</f>
        <v>5.67</v>
      </c>
      <c r="E38" s="25">
        <f>B7*C38</f>
        <v>55.70399999999999</v>
      </c>
      <c r="F38" s="25">
        <f t="shared" si="0"/>
        <v>61.373999999999995</v>
      </c>
      <c r="G38" s="39">
        <v>5.162</v>
      </c>
      <c r="H38" s="39">
        <v>51.642</v>
      </c>
      <c r="I38" s="26">
        <f t="shared" si="1"/>
        <v>56.804</v>
      </c>
      <c r="J38" s="27">
        <f t="shared" si="2"/>
        <v>0.910405643738977</v>
      </c>
      <c r="K38" s="27">
        <f t="shared" si="2"/>
        <v>0.927078845325291</v>
      </c>
      <c r="L38" s="28">
        <f t="shared" si="2"/>
        <v>0.9255385016456481</v>
      </c>
      <c r="M38" s="40">
        <f>2423.18+5374.19</f>
        <v>7797.369999999999</v>
      </c>
      <c r="N38" s="29">
        <f t="shared" si="3"/>
        <v>137.26797408633192</v>
      </c>
    </row>
    <row r="39" spans="1:14" ht="12.75">
      <c r="A39" s="31" t="s">
        <v>20</v>
      </c>
      <c r="B39" s="24">
        <v>0.095</v>
      </c>
      <c r="C39" s="24">
        <v>0.1</v>
      </c>
      <c r="D39" s="25">
        <f>B6*B39</f>
        <v>59.85</v>
      </c>
      <c r="E39" s="25">
        <f>B7*C39</f>
        <v>506.40000000000003</v>
      </c>
      <c r="F39" s="25">
        <f t="shared" si="0"/>
        <v>566.25</v>
      </c>
      <c r="G39" s="39">
        <f>0.216+15.558+1.876+1.456+46.195</f>
        <v>65.301</v>
      </c>
      <c r="H39" s="39">
        <f>2.444+104.073+18.628+13.309+376.972</f>
        <v>515.4259999999999</v>
      </c>
      <c r="I39" s="26">
        <f t="shared" si="1"/>
        <v>580.727</v>
      </c>
      <c r="J39" s="27">
        <f t="shared" si="2"/>
        <v>1.0910776942355889</v>
      </c>
      <c r="K39" s="27">
        <f t="shared" si="2"/>
        <v>1.0178238546603473</v>
      </c>
      <c r="L39" s="28">
        <f t="shared" si="2"/>
        <v>1.0255664459161147</v>
      </c>
      <c r="M39" s="40">
        <f>456+20508+2486.05+3618.14+30991.32</f>
        <v>58059.509999999995</v>
      </c>
      <c r="N39" s="29">
        <f t="shared" si="3"/>
        <v>99.97728709014734</v>
      </c>
    </row>
    <row r="40" spans="1:14" ht="12.75">
      <c r="A40" s="31" t="s">
        <v>21</v>
      </c>
      <c r="B40" s="24">
        <v>0.1</v>
      </c>
      <c r="C40" s="24">
        <v>0.1</v>
      </c>
      <c r="D40" s="25">
        <f>B6*B40</f>
        <v>63</v>
      </c>
      <c r="E40" s="25">
        <f>B7*C40</f>
        <v>506.40000000000003</v>
      </c>
      <c r="F40" s="25">
        <f t="shared" si="0"/>
        <v>569.4000000000001</v>
      </c>
      <c r="G40" s="39">
        <v>54.8</v>
      </c>
      <c r="H40" s="39">
        <v>498.4</v>
      </c>
      <c r="I40" s="26">
        <f t="shared" si="1"/>
        <v>553.1999999999999</v>
      </c>
      <c r="J40" s="27">
        <f t="shared" si="2"/>
        <v>0.8698412698412697</v>
      </c>
      <c r="K40" s="27">
        <f t="shared" si="2"/>
        <v>0.9842022116903633</v>
      </c>
      <c r="L40" s="28">
        <f t="shared" si="2"/>
        <v>0.9715489989462589</v>
      </c>
      <c r="M40" s="40">
        <f>20828.87+5262.9</f>
        <v>26091.769999999997</v>
      </c>
      <c r="N40" s="29">
        <f t="shared" si="3"/>
        <v>47.165166305133766</v>
      </c>
    </row>
    <row r="41" spans="1:14" ht="12.75">
      <c r="A41" s="31" t="s">
        <v>22</v>
      </c>
      <c r="B41" s="63">
        <v>0.12</v>
      </c>
      <c r="C41" s="63">
        <v>0.14</v>
      </c>
      <c r="D41" s="25">
        <f>B6*B41</f>
        <v>75.6</v>
      </c>
      <c r="E41" s="25">
        <f>B7*C41</f>
        <v>708.96</v>
      </c>
      <c r="F41" s="25">
        <f t="shared" si="0"/>
        <v>784.5600000000001</v>
      </c>
      <c r="G41" s="39">
        <v>71.576</v>
      </c>
      <c r="H41" s="39">
        <v>707.281</v>
      </c>
      <c r="I41" s="26">
        <f t="shared" si="1"/>
        <v>778.857</v>
      </c>
      <c r="J41" s="27">
        <f t="shared" si="2"/>
        <v>0.9467724867724867</v>
      </c>
      <c r="K41" s="27">
        <f t="shared" si="2"/>
        <v>0.9976317422703678</v>
      </c>
      <c r="L41" s="28">
        <f t="shared" si="2"/>
        <v>0.9927309574793514</v>
      </c>
      <c r="M41" s="40">
        <v>25961.87</v>
      </c>
      <c r="N41" s="29">
        <f t="shared" si="3"/>
        <v>33.333294815351216</v>
      </c>
    </row>
    <row r="42" spans="1:14" ht="12.75">
      <c r="A42" s="31" t="s">
        <v>23</v>
      </c>
      <c r="B42" s="24">
        <v>0.18</v>
      </c>
      <c r="C42" s="24">
        <v>0.22</v>
      </c>
      <c r="D42" s="25">
        <f>B6*B42</f>
        <v>113.39999999999999</v>
      </c>
      <c r="E42" s="25">
        <f>B7*C42</f>
        <v>1114.08</v>
      </c>
      <c r="F42" s="25">
        <f t="shared" si="0"/>
        <v>1227.48</v>
      </c>
      <c r="G42" s="39">
        <v>104.992</v>
      </c>
      <c r="H42" s="39">
        <v>1063.794</v>
      </c>
      <c r="I42" s="26">
        <f t="shared" si="1"/>
        <v>1168.786</v>
      </c>
      <c r="J42" s="27">
        <f t="shared" si="2"/>
        <v>0.9258553791887126</v>
      </c>
      <c r="K42" s="27">
        <f t="shared" si="2"/>
        <v>0.9548632055148645</v>
      </c>
      <c r="L42" s="28">
        <f t="shared" si="2"/>
        <v>0.9521833349626878</v>
      </c>
      <c r="M42" s="40">
        <f>11711.76+3167.11+11068.76+6101.61+5648.58+4671.57+1861.65+8161.86+4019.98+2531.48+1573.71+3560.09</f>
        <v>64078.16</v>
      </c>
      <c r="N42" s="29">
        <f t="shared" si="3"/>
        <v>54.824544441839656</v>
      </c>
    </row>
    <row r="43" spans="1:14" ht="12.75">
      <c r="A43" s="31" t="s">
        <v>24</v>
      </c>
      <c r="B43" s="24">
        <v>0.04</v>
      </c>
      <c r="C43" s="24">
        <v>0.05</v>
      </c>
      <c r="D43" s="25">
        <f>B6*B43</f>
        <v>25.2</v>
      </c>
      <c r="E43" s="25">
        <f>B7*C43</f>
        <v>253.20000000000002</v>
      </c>
      <c r="F43" s="25">
        <f t="shared" si="0"/>
        <v>278.40000000000003</v>
      </c>
      <c r="G43" s="39">
        <v>24.76</v>
      </c>
      <c r="H43" s="39">
        <v>224.039</v>
      </c>
      <c r="I43" s="26">
        <f t="shared" si="1"/>
        <v>248.79899999999998</v>
      </c>
      <c r="J43" s="27">
        <f t="shared" si="2"/>
        <v>0.9825396825396826</v>
      </c>
      <c r="K43" s="27">
        <f t="shared" si="2"/>
        <v>0.8848301737756713</v>
      </c>
      <c r="L43" s="28">
        <f t="shared" si="2"/>
        <v>0.893674568965517</v>
      </c>
      <c r="M43" s="40">
        <v>13572.04</v>
      </c>
      <c r="N43" s="29">
        <f t="shared" si="3"/>
        <v>54.55021925329283</v>
      </c>
    </row>
    <row r="44" spans="1:14" ht="12.75">
      <c r="A44" s="32" t="s">
        <v>25</v>
      </c>
      <c r="B44" s="64">
        <v>0.06</v>
      </c>
      <c r="C44" s="64">
        <v>0.08</v>
      </c>
      <c r="D44" s="25">
        <f>B6*B44</f>
        <v>37.8</v>
      </c>
      <c r="E44" s="25">
        <f>B7*C44</f>
        <v>405.12</v>
      </c>
      <c r="F44" s="25">
        <f>D44+E44</f>
        <v>442.92</v>
      </c>
      <c r="G44" s="39">
        <f>18.339+16.018</f>
        <v>34.357</v>
      </c>
      <c r="H44" s="39">
        <v>336.799</v>
      </c>
      <c r="I44" s="26">
        <f>G44+H44</f>
        <v>371.15599999999995</v>
      </c>
      <c r="J44" s="27">
        <f t="shared" si="2"/>
        <v>0.908915343915344</v>
      </c>
      <c r="K44" s="27">
        <f t="shared" si="2"/>
        <v>0.8313561413902053</v>
      </c>
      <c r="L44" s="28">
        <f t="shared" si="2"/>
        <v>0.8379752551250789</v>
      </c>
      <c r="M44" s="40">
        <f>12013.75+14085.51</f>
        <v>26099.260000000002</v>
      </c>
      <c r="N44" s="29">
        <f>IF(I44&gt;0,M44/I44,0)</f>
        <v>70.31884167304315</v>
      </c>
    </row>
    <row r="45" spans="1:14" s="20" customFormat="1" ht="12.75">
      <c r="A45" s="44" t="s">
        <v>54</v>
      </c>
      <c r="B45" s="45"/>
      <c r="C45" s="45"/>
      <c r="D45" s="46">
        <f>SUM(D22:D44)</f>
        <v>1440.18</v>
      </c>
      <c r="E45" s="46">
        <f>SUM(E22:E44)</f>
        <v>12735.960000000003</v>
      </c>
      <c r="F45" s="46">
        <f>D45+E45</f>
        <v>14176.140000000003</v>
      </c>
      <c r="G45" s="56">
        <f>SUM(G22:G44)</f>
        <v>1331.892</v>
      </c>
      <c r="H45" s="56">
        <f>SUM(H22:H44)</f>
        <v>12053.995000000003</v>
      </c>
      <c r="I45" s="47">
        <f>G45+H45</f>
        <v>13385.887000000002</v>
      </c>
      <c r="J45" s="59">
        <f>IF(G45&gt;0,G45/D45,0)</f>
        <v>0.9248093988251469</v>
      </c>
      <c r="K45" s="59">
        <f>IF(E45&gt;0,H45/E45,0)</f>
        <v>0.9464535849672895</v>
      </c>
      <c r="L45" s="59">
        <f>IF(F45&gt;0,I45/F45,0)</f>
        <v>0.9442547124957852</v>
      </c>
      <c r="M45" s="57">
        <f>SUM(SUM(M22:M44))</f>
        <v>831586.6000000003</v>
      </c>
      <c r="N45" s="60"/>
    </row>
    <row r="46" ht="13.5" thickBot="1"/>
    <row r="47" spans="1:14" s="37" customFormat="1" ht="21" customHeight="1" thickBot="1">
      <c r="A47" s="33" t="s">
        <v>48</v>
      </c>
      <c r="B47" s="34">
        <f>SUM(B22:B24)</f>
        <v>0.09000000000000001</v>
      </c>
      <c r="C47" s="34">
        <f>SUM(C22:C24)</f>
        <v>0.10400000000000001</v>
      </c>
      <c r="D47" s="35">
        <f aca="true" t="shared" si="4" ref="D47:I47">SUM(D22:D24)</f>
        <v>56.7</v>
      </c>
      <c r="E47" s="35">
        <f t="shared" si="4"/>
        <v>526.656</v>
      </c>
      <c r="F47" s="35">
        <f t="shared" si="4"/>
        <v>583.356</v>
      </c>
      <c r="G47" s="35">
        <f t="shared" si="4"/>
        <v>48.864999999999995</v>
      </c>
      <c r="H47" s="35">
        <f t="shared" si="4"/>
        <v>493.991</v>
      </c>
      <c r="I47" s="35">
        <f t="shared" si="4"/>
        <v>542.856</v>
      </c>
      <c r="J47" s="61">
        <f>IF(G47=0,0,G47/D47)</f>
        <v>0.861816578483245</v>
      </c>
      <c r="K47" s="61">
        <f>IF(H47=0,0,H47/E47)</f>
        <v>0.9379765919309759</v>
      </c>
      <c r="L47" s="61">
        <f>IF(I47&gt;0,I47/F47,0)</f>
        <v>0.9305741262625223</v>
      </c>
      <c r="M47" s="58">
        <f>SUM(M22:M24)</f>
        <v>173261.90000000002</v>
      </c>
      <c r="N47" s="36">
        <f>IF(M47=0,0,M47/I47)</f>
        <v>319.16732982595755</v>
      </c>
    </row>
  </sheetData>
  <sheetProtection password="CC53" sheet="1" formatCells="0" formatColumns="0" formatRows="0" insertColumns="0" insertRows="0" insertHyperlinks="0" deleteColumns="0" deleteRows="0" sort="0" autoFilter="0" pivotTables="0"/>
  <mergeCells count="19">
    <mergeCell ref="M20:M21"/>
    <mergeCell ref="E2:G2"/>
    <mergeCell ref="A15:B15"/>
    <mergeCell ref="L15:M15"/>
    <mergeCell ref="C8:C10"/>
    <mergeCell ref="D8:F10"/>
    <mergeCell ref="A11:B11"/>
    <mergeCell ref="L13:N13"/>
    <mergeCell ref="L14:M14"/>
    <mergeCell ref="A1:G1"/>
    <mergeCell ref="L16:M16"/>
    <mergeCell ref="L17:M17"/>
    <mergeCell ref="A19:N19"/>
    <mergeCell ref="A20:A21"/>
    <mergeCell ref="B20:C20"/>
    <mergeCell ref="D20:F20"/>
    <mergeCell ref="G20:I20"/>
    <mergeCell ref="N20:N21"/>
    <mergeCell ref="J20:L20"/>
  </mergeCells>
  <printOptions horizontalCentered="1"/>
  <pageMargins left="0.31496062992125984" right="0.31496062992125984" top="0.7480314960629921" bottom="0.35433070866141736" header="0" footer="0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7"/>
  <sheetViews>
    <sheetView zoomScale="112" zoomScaleNormal="112" zoomScalePageLayoutView="0" workbookViewId="0" topLeftCell="A1">
      <selection activeCell="B8" sqref="B8"/>
    </sheetView>
  </sheetViews>
  <sheetFormatPr defaultColWidth="9.125" defaultRowHeight="12.75"/>
  <cols>
    <col min="1" max="1" width="32.625" style="2" customWidth="1"/>
    <col min="2" max="3" width="12.125" style="2" customWidth="1"/>
    <col min="4" max="12" width="11.375" style="2" customWidth="1"/>
    <col min="13" max="13" width="12.50390625" style="2" customWidth="1"/>
    <col min="14" max="14" width="11.375" style="2" customWidth="1"/>
    <col min="15" max="15" width="10.50390625" style="2" customWidth="1"/>
    <col min="16" max="16384" width="9.125" style="2" customWidth="1"/>
  </cols>
  <sheetData>
    <row r="1" spans="1:14" ht="24" customHeight="1">
      <c r="A1" s="171" t="s">
        <v>85</v>
      </c>
      <c r="B1" s="171"/>
      <c r="C1" s="171"/>
      <c r="D1" s="171"/>
      <c r="E1" s="171"/>
      <c r="F1" s="171"/>
      <c r="G1" s="171"/>
      <c r="H1" s="119">
        <f>янв!H1</f>
        <v>2023</v>
      </c>
      <c r="I1" s="1" t="s">
        <v>75</v>
      </c>
      <c r="J1" s="1"/>
      <c r="K1" s="1"/>
      <c r="L1" s="1"/>
      <c r="M1" s="1"/>
      <c r="N1" s="1"/>
    </row>
    <row r="2" spans="1:7" ht="12.75">
      <c r="A2" s="3" t="s">
        <v>26</v>
      </c>
      <c r="B2" s="157" t="s">
        <v>98</v>
      </c>
      <c r="E2" s="183" t="s">
        <v>55</v>
      </c>
      <c r="F2" s="183"/>
      <c r="G2" s="183"/>
    </row>
    <row r="3" spans="1:2" ht="12.75">
      <c r="A3" s="3" t="s">
        <v>0</v>
      </c>
      <c r="B3" s="38" t="s">
        <v>99</v>
      </c>
    </row>
    <row r="4" spans="1:2" ht="12.75">
      <c r="A4" s="4" t="s">
        <v>30</v>
      </c>
      <c r="B4" s="38">
        <v>448</v>
      </c>
    </row>
    <row r="5" spans="1:2" ht="12.75">
      <c r="A5" s="5" t="s">
        <v>28</v>
      </c>
      <c r="B5" s="140">
        <f>B6+B7</f>
        <v>6352</v>
      </c>
    </row>
    <row r="6" spans="1:2" ht="12.75">
      <c r="A6" s="6" t="s">
        <v>27</v>
      </c>
      <c r="B6" s="146">
        <v>840</v>
      </c>
    </row>
    <row r="7" spans="1:2" ht="13.5" thickBot="1">
      <c r="A7" s="7" t="s">
        <v>29</v>
      </c>
      <c r="B7" s="147">
        <v>5512</v>
      </c>
    </row>
    <row r="8" spans="1:4" ht="12.75">
      <c r="A8" s="8" t="s">
        <v>31</v>
      </c>
      <c r="B8" s="132">
        <v>980077.52</v>
      </c>
      <c r="C8" s="112"/>
      <c r="D8" s="12"/>
    </row>
    <row r="9" spans="1:4" ht="12.75">
      <c r="A9" s="9" t="s">
        <v>32</v>
      </c>
      <c r="B9" s="133">
        <f>M45</f>
        <v>974394.4000000001</v>
      </c>
      <c r="C9" s="112"/>
      <c r="D9" s="12"/>
    </row>
    <row r="10" spans="1:4" ht="13.5" thickBot="1">
      <c r="A10" s="11" t="s">
        <v>33</v>
      </c>
      <c r="B10" s="134">
        <f>B8-B9</f>
        <v>5683.119999999879</v>
      </c>
      <c r="C10" s="112"/>
      <c r="D10" s="12"/>
    </row>
    <row r="11" spans="1:3" ht="12.75">
      <c r="A11" s="185" t="s">
        <v>40</v>
      </c>
      <c r="B11" s="185"/>
      <c r="C11" s="12"/>
    </row>
    <row r="12" spans="1:3" ht="12.75">
      <c r="A12" s="3" t="s">
        <v>34</v>
      </c>
      <c r="B12" s="13">
        <v>131</v>
      </c>
      <c r="C12" s="12"/>
    </row>
    <row r="13" spans="1:14" ht="12.75" customHeight="1">
      <c r="A13" s="3" t="s">
        <v>2</v>
      </c>
      <c r="B13" s="131">
        <f>IF(M45&gt;0,B8/B5,0)</f>
        <v>154.29431989924433</v>
      </c>
      <c r="C13" s="12"/>
      <c r="L13" s="176" t="s">
        <v>49</v>
      </c>
      <c r="M13" s="176"/>
      <c r="N13" s="176"/>
    </row>
    <row r="14" spans="1:14" ht="12.75">
      <c r="A14" s="14" t="s">
        <v>3</v>
      </c>
      <c r="B14" s="15">
        <f>B13/B12</f>
        <v>1.177819235872094</v>
      </c>
      <c r="E14" s="42"/>
      <c r="L14" s="177" t="s">
        <v>50</v>
      </c>
      <c r="M14" s="177"/>
      <c r="N14" s="41">
        <v>2</v>
      </c>
    </row>
    <row r="15" spans="1:14" ht="12.75">
      <c r="A15" s="182" t="s">
        <v>41</v>
      </c>
      <c r="B15" s="182"/>
      <c r="C15" s="12"/>
      <c r="E15" s="43"/>
      <c r="L15" s="177" t="s">
        <v>53</v>
      </c>
      <c r="M15" s="177"/>
      <c r="N15" s="41">
        <v>1.25</v>
      </c>
    </row>
    <row r="16" spans="1:14" ht="12.75">
      <c r="A16" s="3" t="s">
        <v>42</v>
      </c>
      <c r="B16" s="16">
        <f>J45</f>
        <v>0.9023434570678666</v>
      </c>
      <c r="C16" s="12"/>
      <c r="L16" s="177" t="s">
        <v>52</v>
      </c>
      <c r="M16" s="177"/>
      <c r="N16" s="41">
        <v>2.63</v>
      </c>
    </row>
    <row r="17" spans="1:14" ht="13.5" thickBot="1">
      <c r="A17" s="3" t="s">
        <v>43</v>
      </c>
      <c r="B17" s="17">
        <f>K45</f>
        <v>0.9136053778922979</v>
      </c>
      <c r="C17" s="12"/>
      <c r="L17" s="177" t="s">
        <v>51</v>
      </c>
      <c r="M17" s="177"/>
      <c r="N17" s="41">
        <v>8.33</v>
      </c>
    </row>
    <row r="18" spans="1:3" ht="18" thickBot="1">
      <c r="A18" s="18" t="s">
        <v>44</v>
      </c>
      <c r="B18" s="19">
        <f>L45</f>
        <v>0.9122351884188731</v>
      </c>
      <c r="C18" s="12"/>
    </row>
    <row r="19" spans="1:14" ht="18.75" customHeight="1">
      <c r="A19" s="174" t="s">
        <v>1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</row>
    <row r="20" spans="1:14" s="20" customFormat="1" ht="39" customHeight="1">
      <c r="A20" s="186"/>
      <c r="B20" s="179" t="s">
        <v>37</v>
      </c>
      <c r="C20" s="179"/>
      <c r="D20" s="178" t="s">
        <v>38</v>
      </c>
      <c r="E20" s="178"/>
      <c r="F20" s="179"/>
      <c r="G20" s="178" t="s">
        <v>39</v>
      </c>
      <c r="H20" s="179"/>
      <c r="I20" s="179"/>
      <c r="J20" s="180" t="s">
        <v>4</v>
      </c>
      <c r="K20" s="181"/>
      <c r="L20" s="181"/>
      <c r="M20" s="172" t="s">
        <v>46</v>
      </c>
      <c r="N20" s="172" t="s">
        <v>47</v>
      </c>
    </row>
    <row r="21" spans="1:14" s="20" customFormat="1" ht="12.75">
      <c r="A21" s="186"/>
      <c r="B21" s="48" t="s">
        <v>27</v>
      </c>
      <c r="C21" s="48" t="s">
        <v>29</v>
      </c>
      <c r="D21" s="21" t="s">
        <v>27</v>
      </c>
      <c r="E21" s="21" t="s">
        <v>29</v>
      </c>
      <c r="F21" s="21" t="s">
        <v>5</v>
      </c>
      <c r="G21" s="21" t="s">
        <v>27</v>
      </c>
      <c r="H21" s="21" t="s">
        <v>29</v>
      </c>
      <c r="I21" s="21" t="s">
        <v>5</v>
      </c>
      <c r="J21" s="21" t="s">
        <v>27</v>
      </c>
      <c r="K21" s="21" t="s">
        <v>29</v>
      </c>
      <c r="L21" s="22" t="s">
        <v>45</v>
      </c>
      <c r="M21" s="173"/>
      <c r="N21" s="173"/>
    </row>
    <row r="22" spans="1:14" ht="12.75">
      <c r="A22" s="23" t="s">
        <v>6</v>
      </c>
      <c r="B22" s="63">
        <v>0.05</v>
      </c>
      <c r="C22" s="63">
        <v>0.055</v>
      </c>
      <c r="D22" s="25">
        <f>B6*B22</f>
        <v>42</v>
      </c>
      <c r="E22" s="25">
        <f>B7*C22</f>
        <v>303.16</v>
      </c>
      <c r="F22" s="25">
        <f>D22+E22</f>
        <v>345.16</v>
      </c>
      <c r="G22" s="39">
        <v>33.938</v>
      </c>
      <c r="H22" s="39">
        <v>292.524</v>
      </c>
      <c r="I22" s="26">
        <f>G22+H22</f>
        <v>326.462</v>
      </c>
      <c r="J22" s="27">
        <f>IF(D22&gt;0,G22/D22,0)</f>
        <v>0.8080476190476191</v>
      </c>
      <c r="K22" s="27">
        <f>IF(E22&gt;0,H22/E22,0)</f>
        <v>0.964916215859612</v>
      </c>
      <c r="L22" s="28">
        <f>IF(I22&gt;0,I22/F22,0)</f>
        <v>0.9458280217869972</v>
      </c>
      <c r="M22" s="40">
        <f>2618.28+141221.48</f>
        <v>143839.76</v>
      </c>
      <c r="N22" s="29">
        <f>IF(I22&gt;0,M22/I22,0)</f>
        <v>440.6018464629881</v>
      </c>
    </row>
    <row r="23" spans="1:14" ht="12.75">
      <c r="A23" s="23" t="s">
        <v>7</v>
      </c>
      <c r="B23" s="63">
        <v>0.02</v>
      </c>
      <c r="C23" s="63">
        <v>0.024</v>
      </c>
      <c r="D23" s="25">
        <f>B6*B23</f>
        <v>16.8</v>
      </c>
      <c r="E23" s="25">
        <f>B7*C23</f>
        <v>132.288</v>
      </c>
      <c r="F23" s="25">
        <f aca="true" t="shared" si="0" ref="F23:F43">D23+E23</f>
        <v>149.08800000000002</v>
      </c>
      <c r="G23" s="39">
        <v>18.12</v>
      </c>
      <c r="H23" s="39">
        <v>132.878</v>
      </c>
      <c r="I23" s="26">
        <f aca="true" t="shared" si="1" ref="I23:I43">G23+H23</f>
        <v>150.998</v>
      </c>
      <c r="J23" s="27">
        <f aca="true" t="shared" si="2" ref="J23:L44">IF(D23&gt;0,G23/D23,0)</f>
        <v>1.0785714285714285</v>
      </c>
      <c r="K23" s="27">
        <f t="shared" si="2"/>
        <v>1.0044599661344942</v>
      </c>
      <c r="L23" s="28">
        <f t="shared" si="2"/>
        <v>1.0128112255848893</v>
      </c>
      <c r="M23" s="40">
        <v>50332.7</v>
      </c>
      <c r="N23" s="29">
        <f aca="true" t="shared" si="3" ref="N23:N43">IF(I23&gt;0,M23/I23,0)</f>
        <v>333.3335540868091</v>
      </c>
    </row>
    <row r="24" spans="1:14" ht="12.75">
      <c r="A24" s="23" t="s">
        <v>97</v>
      </c>
      <c r="B24" s="158">
        <v>0.02</v>
      </c>
      <c r="C24" s="63">
        <v>0.025</v>
      </c>
      <c r="D24" s="25">
        <f>B6*B24</f>
        <v>16.8</v>
      </c>
      <c r="E24" s="25">
        <f>B7*C24</f>
        <v>137.8</v>
      </c>
      <c r="F24" s="25">
        <f>D24+E24</f>
        <v>154.60000000000002</v>
      </c>
      <c r="G24" s="39">
        <v>13.973</v>
      </c>
      <c r="H24" s="39">
        <v>123.843</v>
      </c>
      <c r="I24" s="26">
        <f>G24+H24</f>
        <v>137.816</v>
      </c>
      <c r="J24" s="27">
        <f>IF(D24&gt;0,G24/D24,0)</f>
        <v>0.8317261904761905</v>
      </c>
      <c r="K24" s="27">
        <f>IF(E24&gt;0,H24/E24,0)</f>
        <v>0.8987155297532655</v>
      </c>
      <c r="L24" s="28">
        <f>IF(F24&gt;0,I24/F24,0)</f>
        <v>0.8914359637774902</v>
      </c>
      <c r="M24" s="40">
        <f>13346.81+26274.32</f>
        <v>39621.13</v>
      </c>
      <c r="N24" s="29">
        <f>IF(I24&gt;0,M24/I24,0)</f>
        <v>287.4929616299994</v>
      </c>
    </row>
    <row r="25" spans="1:14" ht="12.75">
      <c r="A25" s="31" t="s">
        <v>8</v>
      </c>
      <c r="B25" s="24">
        <v>0.032</v>
      </c>
      <c r="C25" s="24">
        <v>0.037</v>
      </c>
      <c r="D25" s="25">
        <f>B6*B25</f>
        <v>26.88</v>
      </c>
      <c r="E25" s="25">
        <f>B7*C25</f>
        <v>203.944</v>
      </c>
      <c r="F25" s="25">
        <f t="shared" si="0"/>
        <v>230.82399999999998</v>
      </c>
      <c r="G25" s="39">
        <v>23.032</v>
      </c>
      <c r="H25" s="39">
        <v>175.196</v>
      </c>
      <c r="I25" s="26">
        <f t="shared" si="1"/>
        <v>198.228</v>
      </c>
      <c r="J25" s="27">
        <f t="shared" si="2"/>
        <v>0.8568452380952382</v>
      </c>
      <c r="K25" s="27">
        <f t="shared" si="2"/>
        <v>0.859039736398227</v>
      </c>
      <c r="L25" s="28">
        <f t="shared" si="2"/>
        <v>0.8587841818874988</v>
      </c>
      <c r="M25" s="40">
        <f>44585.64+22133.74</f>
        <v>66719.38</v>
      </c>
      <c r="N25" s="29">
        <f t="shared" si="3"/>
        <v>336.57898985007165</v>
      </c>
    </row>
    <row r="26" spans="1:14" ht="12.75">
      <c r="A26" s="31" t="s">
        <v>35</v>
      </c>
      <c r="B26" s="24">
        <v>0.018</v>
      </c>
      <c r="C26" s="24">
        <v>0.021</v>
      </c>
      <c r="D26" s="25">
        <f>B6*B26</f>
        <v>15.12</v>
      </c>
      <c r="E26" s="25">
        <f>B7*C26</f>
        <v>115.75200000000001</v>
      </c>
      <c r="F26" s="25">
        <f t="shared" si="0"/>
        <v>130.872</v>
      </c>
      <c r="G26" s="39">
        <v>15.773</v>
      </c>
      <c r="H26" s="39">
        <v>115.342</v>
      </c>
      <c r="I26" s="26">
        <f t="shared" si="1"/>
        <v>131.115</v>
      </c>
      <c r="J26" s="27">
        <f t="shared" si="2"/>
        <v>1.0431878306878308</v>
      </c>
      <c r="K26" s="27">
        <f t="shared" si="2"/>
        <v>0.996457944571152</v>
      </c>
      <c r="L26" s="28">
        <f t="shared" si="2"/>
        <v>1.0018567760865578</v>
      </c>
      <c r="M26" s="40">
        <v>85955.1</v>
      </c>
      <c r="N26" s="29">
        <f t="shared" si="3"/>
        <v>655.5703008809061</v>
      </c>
    </row>
    <row r="27" spans="1:14" ht="12.75">
      <c r="A27" s="31" t="s">
        <v>36</v>
      </c>
      <c r="B27" s="24">
        <v>0.009</v>
      </c>
      <c r="C27" s="24">
        <v>0.011</v>
      </c>
      <c r="D27" s="25">
        <f>B6*B27</f>
        <v>7.56</v>
      </c>
      <c r="E27" s="25">
        <f>B7*C27</f>
        <v>60.632</v>
      </c>
      <c r="F27" s="25">
        <f t="shared" si="0"/>
        <v>68.192</v>
      </c>
      <c r="G27" s="39">
        <v>7.131</v>
      </c>
      <c r="H27" s="39">
        <v>64.439</v>
      </c>
      <c r="I27" s="26">
        <f t="shared" si="1"/>
        <v>71.57</v>
      </c>
      <c r="J27" s="27">
        <f t="shared" si="2"/>
        <v>0.9432539682539683</v>
      </c>
      <c r="K27" s="27">
        <f t="shared" si="2"/>
        <v>1.0627886264678716</v>
      </c>
      <c r="L27" s="28">
        <f t="shared" si="2"/>
        <v>1.0495366025340216</v>
      </c>
      <c r="M27" s="40">
        <v>7617.87</v>
      </c>
      <c r="N27" s="29">
        <f t="shared" si="3"/>
        <v>106.4394299287411</v>
      </c>
    </row>
    <row r="28" spans="1:14" ht="12.75">
      <c r="A28" s="32" t="s">
        <v>9</v>
      </c>
      <c r="B28" s="24">
        <v>0.39</v>
      </c>
      <c r="C28" s="24">
        <v>0.45</v>
      </c>
      <c r="D28" s="25">
        <f>B6*B28</f>
        <v>327.6</v>
      </c>
      <c r="E28" s="25">
        <f>B7*C28</f>
        <v>2480.4</v>
      </c>
      <c r="F28" s="25">
        <f t="shared" si="0"/>
        <v>2808</v>
      </c>
      <c r="G28" s="39">
        <v>329.814</v>
      </c>
      <c r="H28" s="39">
        <v>2374.595</v>
      </c>
      <c r="I28" s="26">
        <f t="shared" si="1"/>
        <v>2704.4089999999997</v>
      </c>
      <c r="J28" s="27">
        <f t="shared" si="2"/>
        <v>1.0067582417582417</v>
      </c>
      <c r="K28" s="27">
        <f t="shared" si="2"/>
        <v>0.9573435736171584</v>
      </c>
      <c r="L28" s="28">
        <f t="shared" si="2"/>
        <v>0.9631086182336182</v>
      </c>
      <c r="M28" s="40">
        <f>18774+120819.52+6239.7+24903.3</f>
        <v>170736.52000000002</v>
      </c>
      <c r="N28" s="29">
        <f t="shared" si="3"/>
        <v>63.132654861006614</v>
      </c>
    </row>
    <row r="29" spans="1:14" ht="12.75">
      <c r="A29" s="31" t="s">
        <v>10</v>
      </c>
      <c r="B29" s="24">
        <v>0.03</v>
      </c>
      <c r="C29" s="24">
        <v>0.04</v>
      </c>
      <c r="D29" s="25">
        <f>B6*B29</f>
        <v>25.2</v>
      </c>
      <c r="E29" s="25">
        <f>B7*C29</f>
        <v>220.48000000000002</v>
      </c>
      <c r="F29" s="25">
        <f t="shared" si="0"/>
        <v>245.68</v>
      </c>
      <c r="G29" s="39">
        <v>29.015</v>
      </c>
      <c r="H29" s="39">
        <v>229.666</v>
      </c>
      <c r="I29" s="26">
        <f t="shared" si="1"/>
        <v>258.681</v>
      </c>
      <c r="J29" s="27">
        <f t="shared" si="2"/>
        <v>1.151388888888889</v>
      </c>
      <c r="K29" s="27">
        <f t="shared" si="2"/>
        <v>1.0416636429608126</v>
      </c>
      <c r="L29" s="28">
        <f t="shared" si="2"/>
        <v>1.0529184304786714</v>
      </c>
      <c r="M29" s="40">
        <v>86664.6</v>
      </c>
      <c r="N29" s="29">
        <f t="shared" si="3"/>
        <v>335.0249921718256</v>
      </c>
    </row>
    <row r="30" spans="1:14" ht="12.75">
      <c r="A30" s="31" t="s">
        <v>11</v>
      </c>
      <c r="B30" s="24">
        <v>0.009</v>
      </c>
      <c r="C30" s="24">
        <v>0.011</v>
      </c>
      <c r="D30" s="25">
        <f>B6*B30</f>
        <v>7.56</v>
      </c>
      <c r="E30" s="25">
        <f>B7*C30</f>
        <v>60.632</v>
      </c>
      <c r="F30" s="25">
        <f t="shared" si="0"/>
        <v>68.192</v>
      </c>
      <c r="G30" s="39">
        <v>7.338</v>
      </c>
      <c r="H30" s="39">
        <v>58.414</v>
      </c>
      <c r="I30" s="26">
        <f t="shared" si="1"/>
        <v>65.752</v>
      </c>
      <c r="J30" s="27">
        <f t="shared" si="2"/>
        <v>0.9706349206349207</v>
      </c>
      <c r="K30" s="27">
        <f t="shared" si="2"/>
        <v>0.9634186568148833</v>
      </c>
      <c r="L30" s="28">
        <f t="shared" si="2"/>
        <v>0.9642186766776162</v>
      </c>
      <c r="M30" s="40">
        <v>11769.6</v>
      </c>
      <c r="N30" s="29">
        <f t="shared" si="3"/>
        <v>178.9998783306972</v>
      </c>
    </row>
    <row r="31" spans="1:14" ht="12.75">
      <c r="A31" s="31" t="s">
        <v>12</v>
      </c>
      <c r="B31" s="24">
        <v>0.004</v>
      </c>
      <c r="C31" s="24">
        <v>0.006</v>
      </c>
      <c r="D31" s="25">
        <f>B6*B31</f>
        <v>3.36</v>
      </c>
      <c r="E31" s="25">
        <f>B7*C31</f>
        <v>33.072</v>
      </c>
      <c r="F31" s="25">
        <f t="shared" si="0"/>
        <v>36.432</v>
      </c>
      <c r="G31" s="39">
        <v>2.514</v>
      </c>
      <c r="H31" s="39">
        <v>20.116</v>
      </c>
      <c r="I31" s="26">
        <f t="shared" si="1"/>
        <v>22.63</v>
      </c>
      <c r="J31" s="27">
        <f t="shared" si="2"/>
        <v>0.7482142857142857</v>
      </c>
      <c r="K31" s="27">
        <f t="shared" si="2"/>
        <v>0.6082486695694242</v>
      </c>
      <c r="L31" s="28">
        <f t="shared" si="2"/>
        <v>0.621157224418094</v>
      </c>
      <c r="M31" s="40">
        <v>7605.58</v>
      </c>
      <c r="N31" s="29">
        <f t="shared" si="3"/>
        <v>336.0839593460009</v>
      </c>
    </row>
    <row r="32" spans="1:14" ht="12.75">
      <c r="A32" s="31" t="s">
        <v>13</v>
      </c>
      <c r="B32" s="24">
        <v>1</v>
      </c>
      <c r="C32" s="24">
        <v>1</v>
      </c>
      <c r="D32" s="25">
        <f>B6*B32</f>
        <v>840</v>
      </c>
      <c r="E32" s="25">
        <f>B7*C32</f>
        <v>5512</v>
      </c>
      <c r="F32" s="25">
        <f t="shared" si="0"/>
        <v>6352</v>
      </c>
      <c r="G32" s="39">
        <v>717.6</v>
      </c>
      <c r="H32" s="39">
        <v>4891.9</v>
      </c>
      <c r="I32" s="26">
        <f t="shared" si="1"/>
        <v>5609.5</v>
      </c>
      <c r="J32" s="27">
        <f t="shared" si="2"/>
        <v>0.8542857142857143</v>
      </c>
      <c r="K32" s="27">
        <f t="shared" si="2"/>
        <v>0.8875</v>
      </c>
      <c r="L32" s="28">
        <f t="shared" si="2"/>
        <v>0.8831076826196473</v>
      </c>
      <c r="M32" s="40">
        <v>41611.09</v>
      </c>
      <c r="N32" s="29">
        <f t="shared" si="3"/>
        <v>7.417967733309563</v>
      </c>
    </row>
    <row r="33" spans="1:14" ht="12.75">
      <c r="A33" s="31" t="s">
        <v>14</v>
      </c>
      <c r="B33" s="24">
        <v>0.025</v>
      </c>
      <c r="C33" s="24">
        <v>0.029</v>
      </c>
      <c r="D33" s="25">
        <f>B6*B33</f>
        <v>21</v>
      </c>
      <c r="E33" s="25">
        <f>B7*C33</f>
        <v>159.848</v>
      </c>
      <c r="F33" s="25">
        <f t="shared" si="0"/>
        <v>180.848</v>
      </c>
      <c r="G33" s="39">
        <v>18.774</v>
      </c>
      <c r="H33" s="39">
        <v>143.313</v>
      </c>
      <c r="I33" s="26">
        <f t="shared" si="1"/>
        <v>162.087</v>
      </c>
      <c r="J33" s="27">
        <f t="shared" si="2"/>
        <v>0.894</v>
      </c>
      <c r="K33" s="27">
        <f t="shared" si="2"/>
        <v>0.8965579800810769</v>
      </c>
      <c r="L33" s="28">
        <f t="shared" si="2"/>
        <v>0.8962609484207731</v>
      </c>
      <c r="M33" s="40">
        <v>3973.43</v>
      </c>
      <c r="N33" s="29">
        <f t="shared" si="3"/>
        <v>24.51418065606742</v>
      </c>
    </row>
    <row r="34" spans="1:14" ht="12.75">
      <c r="A34" s="31" t="s">
        <v>15</v>
      </c>
      <c r="B34" s="24">
        <v>0.03</v>
      </c>
      <c r="C34" s="24">
        <v>0.043</v>
      </c>
      <c r="D34" s="25">
        <f>B6*B34</f>
        <v>25.2</v>
      </c>
      <c r="E34" s="25">
        <f>B7*C34</f>
        <v>237.016</v>
      </c>
      <c r="F34" s="25">
        <f t="shared" si="0"/>
        <v>262.216</v>
      </c>
      <c r="G34" s="39">
        <v>27.961</v>
      </c>
      <c r="H34" s="39">
        <v>230.854</v>
      </c>
      <c r="I34" s="26">
        <f t="shared" si="1"/>
        <v>258.815</v>
      </c>
      <c r="J34" s="27">
        <f t="shared" si="2"/>
        <v>1.109563492063492</v>
      </c>
      <c r="K34" s="27">
        <f t="shared" si="2"/>
        <v>0.9740017551557701</v>
      </c>
      <c r="L34" s="28">
        <f t="shared" si="2"/>
        <v>0.9870297769777587</v>
      </c>
      <c r="M34" s="40">
        <f>416.98+687.45+2304.33+1034.79+994.03+40.42+103.57+360.3+751.83+6464.36</f>
        <v>13158.06</v>
      </c>
      <c r="N34" s="29">
        <f t="shared" si="3"/>
        <v>50.83963448795472</v>
      </c>
    </row>
    <row r="35" spans="1:14" ht="12.75">
      <c r="A35" s="31" t="s">
        <v>16</v>
      </c>
      <c r="B35" s="24">
        <v>0.008</v>
      </c>
      <c r="C35" s="24">
        <v>0.012</v>
      </c>
      <c r="D35" s="25">
        <f>B6*B35</f>
        <v>6.72</v>
      </c>
      <c r="E35" s="25">
        <f>B7*C35</f>
        <v>66.144</v>
      </c>
      <c r="F35" s="25">
        <f t="shared" si="0"/>
        <v>72.864</v>
      </c>
      <c r="G35" s="39">
        <v>7.659</v>
      </c>
      <c r="H35" s="39">
        <v>57.074</v>
      </c>
      <c r="I35" s="26">
        <f t="shared" si="1"/>
        <v>64.733</v>
      </c>
      <c r="J35" s="27">
        <f t="shared" si="2"/>
        <v>1.139732142857143</v>
      </c>
      <c r="K35" s="27">
        <f t="shared" si="2"/>
        <v>0.8628749395258828</v>
      </c>
      <c r="L35" s="28">
        <f t="shared" si="2"/>
        <v>0.8884085419411506</v>
      </c>
      <c r="M35" s="40">
        <v>2525.17</v>
      </c>
      <c r="N35" s="29">
        <f t="shared" si="3"/>
        <v>39.00900622557273</v>
      </c>
    </row>
    <row r="36" spans="1:14" ht="12.75">
      <c r="A36" s="31" t="s">
        <v>17</v>
      </c>
      <c r="B36" s="24">
        <v>0.025</v>
      </c>
      <c r="C36" s="24">
        <v>0.03</v>
      </c>
      <c r="D36" s="25">
        <f>B6*B36</f>
        <v>21</v>
      </c>
      <c r="E36" s="25">
        <f>B7*C36</f>
        <v>165.35999999999999</v>
      </c>
      <c r="F36" s="25">
        <f t="shared" si="0"/>
        <v>186.35999999999999</v>
      </c>
      <c r="G36" s="39">
        <v>20.379</v>
      </c>
      <c r="H36" s="39">
        <v>165.055</v>
      </c>
      <c r="I36" s="26">
        <f t="shared" si="1"/>
        <v>185.434</v>
      </c>
      <c r="J36" s="27">
        <f t="shared" si="2"/>
        <v>0.9704285714285715</v>
      </c>
      <c r="K36" s="27">
        <f t="shared" si="2"/>
        <v>0.9981555394291245</v>
      </c>
      <c r="L36" s="28">
        <f t="shared" si="2"/>
        <v>0.995031122558489</v>
      </c>
      <c r="M36" s="40">
        <v>13906.8</v>
      </c>
      <c r="N36" s="29">
        <f t="shared" si="3"/>
        <v>74.9959554342785</v>
      </c>
    </row>
    <row r="37" spans="1:14" ht="12.75">
      <c r="A37" s="31" t="s">
        <v>18</v>
      </c>
      <c r="B37" s="24">
        <v>0.012</v>
      </c>
      <c r="C37" s="24">
        <v>0.02</v>
      </c>
      <c r="D37" s="25">
        <f>B6*B37</f>
        <v>10.08</v>
      </c>
      <c r="E37" s="25">
        <f>B7*C37</f>
        <v>110.24000000000001</v>
      </c>
      <c r="F37" s="25">
        <f t="shared" si="0"/>
        <v>120.32000000000001</v>
      </c>
      <c r="G37" s="39">
        <v>6.509</v>
      </c>
      <c r="H37" s="39">
        <v>55.315</v>
      </c>
      <c r="I37" s="26">
        <f t="shared" si="1"/>
        <v>61.824</v>
      </c>
      <c r="J37" s="27">
        <f t="shared" si="2"/>
        <v>0.645734126984127</v>
      </c>
      <c r="K37" s="27">
        <f t="shared" si="2"/>
        <v>0.5017688679245282</v>
      </c>
      <c r="L37" s="28">
        <f t="shared" si="2"/>
        <v>0.5138297872340425</v>
      </c>
      <c r="M37" s="40">
        <f>4612.35+2226.92</f>
        <v>6839.27</v>
      </c>
      <c r="N37" s="29">
        <f t="shared" si="3"/>
        <v>110.62483825051761</v>
      </c>
    </row>
    <row r="38" spans="1:14" ht="12.75">
      <c r="A38" s="31" t="s">
        <v>19</v>
      </c>
      <c r="B38" s="24">
        <v>0.009</v>
      </c>
      <c r="C38" s="24">
        <v>0.011</v>
      </c>
      <c r="D38" s="25">
        <f>B6*B38</f>
        <v>7.56</v>
      </c>
      <c r="E38" s="25">
        <f>B7*C38</f>
        <v>60.632</v>
      </c>
      <c r="F38" s="25">
        <f t="shared" si="0"/>
        <v>68.192</v>
      </c>
      <c r="G38" s="39">
        <v>7.172</v>
      </c>
      <c r="H38" s="39">
        <v>58.4</v>
      </c>
      <c r="I38" s="26">
        <f t="shared" si="1"/>
        <v>65.572</v>
      </c>
      <c r="J38" s="27">
        <f t="shared" si="2"/>
        <v>0.9486772486772487</v>
      </c>
      <c r="K38" s="27">
        <f t="shared" si="2"/>
        <v>0.9631877556405858</v>
      </c>
      <c r="L38" s="28">
        <f t="shared" si="2"/>
        <v>0.9615790708587519</v>
      </c>
      <c r="M38" s="40">
        <f>3112.7+5665.86</f>
        <v>8778.56</v>
      </c>
      <c r="N38" s="29">
        <f t="shared" si="3"/>
        <v>133.87665466967607</v>
      </c>
    </row>
    <row r="39" spans="1:14" ht="12.75">
      <c r="A39" s="31" t="s">
        <v>20</v>
      </c>
      <c r="B39" s="24">
        <v>0.095</v>
      </c>
      <c r="C39" s="24">
        <v>0.1</v>
      </c>
      <c r="D39" s="25">
        <f>B6*B39</f>
        <v>79.8</v>
      </c>
      <c r="E39" s="25">
        <f>B7*C39</f>
        <v>551.2</v>
      </c>
      <c r="F39" s="25">
        <f t="shared" si="0"/>
        <v>631</v>
      </c>
      <c r="G39" s="39">
        <f>73.59+2.317+1.787</f>
        <v>77.69400000000002</v>
      </c>
      <c r="H39" s="39">
        <f>462.61+16.405+15.85</f>
        <v>494.865</v>
      </c>
      <c r="I39" s="26">
        <f t="shared" si="1"/>
        <v>572.559</v>
      </c>
      <c r="J39" s="27">
        <f t="shared" si="2"/>
        <v>0.9736090225563913</v>
      </c>
      <c r="K39" s="27">
        <f t="shared" si="2"/>
        <v>0.8977957184325108</v>
      </c>
      <c r="L39" s="28">
        <f t="shared" si="2"/>
        <v>0.9073835182250396</v>
      </c>
      <c r="M39" s="40">
        <f>2895.5+3470+48072.58</f>
        <v>54438.08</v>
      </c>
      <c r="N39" s="29">
        <f t="shared" si="3"/>
        <v>95.0785508567676</v>
      </c>
    </row>
    <row r="40" spans="1:14" ht="12.75">
      <c r="A40" s="31" t="s">
        <v>21</v>
      </c>
      <c r="B40" s="24">
        <v>0.1</v>
      </c>
      <c r="C40" s="24">
        <v>0.1</v>
      </c>
      <c r="D40" s="25">
        <f>B6*B40</f>
        <v>84</v>
      </c>
      <c r="E40" s="25">
        <f>B7*C40</f>
        <v>551.2</v>
      </c>
      <c r="F40" s="25">
        <f t="shared" si="0"/>
        <v>635.2</v>
      </c>
      <c r="G40" s="39">
        <v>70.4</v>
      </c>
      <c r="H40" s="39">
        <v>545.2</v>
      </c>
      <c r="I40" s="26">
        <f t="shared" si="1"/>
        <v>615.6</v>
      </c>
      <c r="J40" s="27">
        <f t="shared" si="2"/>
        <v>0.8380952380952381</v>
      </c>
      <c r="K40" s="27">
        <f t="shared" si="2"/>
        <v>0.9891146589259797</v>
      </c>
      <c r="L40" s="28">
        <f t="shared" si="2"/>
        <v>0.9691435768261965</v>
      </c>
      <c r="M40" s="40">
        <f>23579.66+7027.89</f>
        <v>30607.55</v>
      </c>
      <c r="N40" s="29">
        <f t="shared" si="3"/>
        <v>49.71986679662118</v>
      </c>
    </row>
    <row r="41" spans="1:14" ht="12.75">
      <c r="A41" s="31" t="s">
        <v>22</v>
      </c>
      <c r="B41" s="63">
        <v>0.12</v>
      </c>
      <c r="C41" s="63">
        <v>0.14</v>
      </c>
      <c r="D41" s="25">
        <f>B6*B41</f>
        <v>100.8</v>
      </c>
      <c r="E41" s="25">
        <f>B7*C41</f>
        <v>771.6800000000001</v>
      </c>
      <c r="F41" s="25">
        <f t="shared" si="0"/>
        <v>872.48</v>
      </c>
      <c r="G41" s="39">
        <v>87.154</v>
      </c>
      <c r="H41" s="39">
        <v>704.814</v>
      </c>
      <c r="I41" s="26">
        <f t="shared" si="1"/>
        <v>791.968</v>
      </c>
      <c r="J41" s="27">
        <f t="shared" si="2"/>
        <v>0.8646230158730158</v>
      </c>
      <c r="K41" s="27">
        <f t="shared" si="2"/>
        <v>0.9133500933029234</v>
      </c>
      <c r="L41" s="28">
        <f t="shared" si="2"/>
        <v>0.9077205208142306</v>
      </c>
      <c r="M41" s="40">
        <v>19893.2</v>
      </c>
      <c r="N41" s="29">
        <f t="shared" si="3"/>
        <v>25.118691664309672</v>
      </c>
    </row>
    <row r="42" spans="1:14" ht="12.75">
      <c r="A42" s="31" t="s">
        <v>23</v>
      </c>
      <c r="B42" s="24">
        <v>0.18</v>
      </c>
      <c r="C42" s="24">
        <v>0.22</v>
      </c>
      <c r="D42" s="25">
        <f>B6*B42</f>
        <v>151.2</v>
      </c>
      <c r="E42" s="25">
        <f>B7*C42</f>
        <v>1212.64</v>
      </c>
      <c r="F42" s="25">
        <f t="shared" si="0"/>
        <v>1363.8400000000001</v>
      </c>
      <c r="G42" s="39">
        <v>132.068</v>
      </c>
      <c r="H42" s="39">
        <v>1121.536</v>
      </c>
      <c r="I42" s="26">
        <f t="shared" si="1"/>
        <v>1253.604</v>
      </c>
      <c r="J42" s="27">
        <f t="shared" si="2"/>
        <v>0.8734656084656086</v>
      </c>
      <c r="K42" s="27">
        <f t="shared" si="2"/>
        <v>0.9248713550600343</v>
      </c>
      <c r="L42" s="28">
        <f t="shared" si="2"/>
        <v>0.9191723369310182</v>
      </c>
      <c r="M42" s="40">
        <v>68432.24</v>
      </c>
      <c r="N42" s="29">
        <f t="shared" si="3"/>
        <v>54.588402717285526</v>
      </c>
    </row>
    <row r="43" spans="1:14" ht="12.75">
      <c r="A43" s="31" t="s">
        <v>24</v>
      </c>
      <c r="B43" s="24">
        <v>0.04</v>
      </c>
      <c r="C43" s="24">
        <v>0.05</v>
      </c>
      <c r="D43" s="25">
        <f>B6*B43</f>
        <v>33.6</v>
      </c>
      <c r="E43" s="25">
        <f>B7*C43</f>
        <v>275.6</v>
      </c>
      <c r="F43" s="25">
        <f t="shared" si="0"/>
        <v>309.20000000000005</v>
      </c>
      <c r="G43" s="39">
        <v>33.66</v>
      </c>
      <c r="H43" s="39">
        <v>249.639</v>
      </c>
      <c r="I43" s="26">
        <f t="shared" si="1"/>
        <v>283.299</v>
      </c>
      <c r="J43" s="27">
        <f t="shared" si="2"/>
        <v>1.001785714285714</v>
      </c>
      <c r="K43" s="27">
        <f t="shared" si="2"/>
        <v>0.9058018867924528</v>
      </c>
      <c r="L43" s="28">
        <f t="shared" si="2"/>
        <v>0.9162322121604137</v>
      </c>
      <c r="M43" s="40">
        <v>13930.9</v>
      </c>
      <c r="N43" s="29">
        <f t="shared" si="3"/>
        <v>49.17384106544676</v>
      </c>
    </row>
    <row r="44" spans="1:14" ht="12.75">
      <c r="A44" s="32" t="s">
        <v>25</v>
      </c>
      <c r="B44" s="64">
        <v>0.06</v>
      </c>
      <c r="C44" s="64">
        <v>0.08</v>
      </c>
      <c r="D44" s="25">
        <f>B6*B44</f>
        <v>50.4</v>
      </c>
      <c r="E44" s="25">
        <f>B7*C44</f>
        <v>440.96000000000004</v>
      </c>
      <c r="F44" s="25">
        <f>D44+E44</f>
        <v>491.36</v>
      </c>
      <c r="G44" s="39">
        <f>25.17+19.868</f>
        <v>45.038</v>
      </c>
      <c r="H44" s="39">
        <v>360.041</v>
      </c>
      <c r="I44" s="26">
        <f>G44+H44</f>
        <v>405.079</v>
      </c>
      <c r="J44" s="27">
        <f t="shared" si="2"/>
        <v>0.893611111111111</v>
      </c>
      <c r="K44" s="27">
        <f t="shared" si="2"/>
        <v>0.8164935595065311</v>
      </c>
      <c r="L44" s="28">
        <f t="shared" si="2"/>
        <v>0.8244036958645392</v>
      </c>
      <c r="M44" s="40">
        <f>10693.16+14744.65</f>
        <v>25437.809999999998</v>
      </c>
      <c r="N44" s="29">
        <f>IF(I44&gt;0,M44/I44,0)</f>
        <v>62.797158085213</v>
      </c>
    </row>
    <row r="45" spans="1:14" s="20" customFormat="1" ht="12.75">
      <c r="A45" s="44" t="s">
        <v>54</v>
      </c>
      <c r="B45" s="45"/>
      <c r="C45" s="45"/>
      <c r="D45" s="46">
        <f>SUM(D22:D44)</f>
        <v>1920.24</v>
      </c>
      <c r="E45" s="46">
        <f>SUM(E22:E44)</f>
        <v>13862.68</v>
      </c>
      <c r="F45" s="46">
        <f>D45+E45</f>
        <v>15782.92</v>
      </c>
      <c r="G45" s="56">
        <f>SUM(G22:G44)</f>
        <v>1732.7160000000001</v>
      </c>
      <c r="H45" s="56">
        <f>SUM(H22:H44)</f>
        <v>12665.019</v>
      </c>
      <c r="I45" s="47">
        <f>G45+H45</f>
        <v>14397.735</v>
      </c>
      <c r="J45" s="59">
        <f>IF(G45&gt;0,G45/D45,0)</f>
        <v>0.9023434570678666</v>
      </c>
      <c r="K45" s="59">
        <f>IF(E45&gt;0,H45/E45,0)</f>
        <v>0.9136053778922979</v>
      </c>
      <c r="L45" s="59">
        <f>IF(F45&gt;0,I45/F45,0)</f>
        <v>0.9122351884188731</v>
      </c>
      <c r="M45" s="57">
        <f>SUM(SUM(M22:M44))</f>
        <v>974394.4000000001</v>
      </c>
      <c r="N45" s="60"/>
    </row>
    <row r="46" ht="13.5" thickBot="1"/>
    <row r="47" spans="1:14" s="37" customFormat="1" ht="21" customHeight="1" thickBot="1">
      <c r="A47" s="33" t="s">
        <v>48</v>
      </c>
      <c r="B47" s="34">
        <f>SUM(B22:B24)</f>
        <v>0.09000000000000001</v>
      </c>
      <c r="C47" s="34">
        <f>SUM(C22:C24)</f>
        <v>0.10400000000000001</v>
      </c>
      <c r="D47" s="35">
        <f aca="true" t="shared" si="4" ref="D47:I47">SUM(D22:D24)</f>
        <v>75.6</v>
      </c>
      <c r="E47" s="35">
        <f t="shared" si="4"/>
        <v>573.248</v>
      </c>
      <c r="F47" s="35">
        <f t="shared" si="4"/>
        <v>648.8480000000001</v>
      </c>
      <c r="G47" s="35">
        <f t="shared" si="4"/>
        <v>66.031</v>
      </c>
      <c r="H47" s="35">
        <f t="shared" si="4"/>
        <v>549.245</v>
      </c>
      <c r="I47" s="35">
        <f t="shared" si="4"/>
        <v>615.276</v>
      </c>
      <c r="J47" s="61">
        <f>IF(G47=0,0,G47/D47)</f>
        <v>0.873425925925926</v>
      </c>
      <c r="K47" s="61">
        <f>IF(H47=0,0,H47/E47)</f>
        <v>0.9581280702244054</v>
      </c>
      <c r="L47" s="61">
        <f>IF(I47&gt;0,I47/F47,0)</f>
        <v>0.9482590683796511</v>
      </c>
      <c r="M47" s="58">
        <f>SUM(M22:M24)</f>
        <v>233793.59000000003</v>
      </c>
      <c r="N47" s="36">
        <f>IF(M47=0,0,M47/I47)</f>
        <v>379.9816505113153</v>
      </c>
    </row>
  </sheetData>
  <sheetProtection password="CC53" sheet="1" formatCells="0" formatColumns="0" formatRows="0" insertColumns="0" insertRows="0" insertHyperlinks="0" deleteColumns="0" deleteRows="0" sort="0" autoFilter="0" pivotTables="0"/>
  <mergeCells count="17">
    <mergeCell ref="E2:G2"/>
    <mergeCell ref="A1:G1"/>
    <mergeCell ref="M20:M21"/>
    <mergeCell ref="A15:B15"/>
    <mergeCell ref="L15:M15"/>
    <mergeCell ref="A11:B11"/>
    <mergeCell ref="L13:N13"/>
    <mergeCell ref="L14:M14"/>
    <mergeCell ref="L16:M16"/>
    <mergeCell ref="L17:M17"/>
    <mergeCell ref="A19:N19"/>
    <mergeCell ref="A20:A21"/>
    <mergeCell ref="B20:C20"/>
    <mergeCell ref="D20:F20"/>
    <mergeCell ref="G20:I20"/>
    <mergeCell ref="N20:N21"/>
    <mergeCell ref="J20:L20"/>
  </mergeCells>
  <printOptions horizontalCentered="1"/>
  <pageMargins left="0.31496062992125984" right="0.31496062992125984" top="0.7480314960629921" bottom="0.35433070866141736" header="0" footer="0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H40" sqref="H40"/>
    </sheetView>
  </sheetViews>
  <sheetFormatPr defaultColWidth="9.125" defaultRowHeight="12.75"/>
  <cols>
    <col min="1" max="1" width="32.625" style="2" customWidth="1"/>
    <col min="2" max="3" width="12.125" style="2" customWidth="1"/>
    <col min="4" max="12" width="11.375" style="2" customWidth="1"/>
    <col min="13" max="13" width="12.50390625" style="2" customWidth="1"/>
    <col min="14" max="14" width="11.375" style="2" customWidth="1"/>
    <col min="15" max="15" width="10.50390625" style="2" customWidth="1"/>
    <col min="16" max="16384" width="9.125" style="2" customWidth="1"/>
  </cols>
  <sheetData>
    <row r="1" spans="1:14" ht="24" customHeight="1">
      <c r="A1" s="171" t="s">
        <v>86</v>
      </c>
      <c r="B1" s="171"/>
      <c r="C1" s="171"/>
      <c r="D1" s="171"/>
      <c r="E1" s="171"/>
      <c r="F1" s="171"/>
      <c r="G1" s="171"/>
      <c r="H1" s="119">
        <f>янв!H1</f>
        <v>2023</v>
      </c>
      <c r="I1" s="1" t="s">
        <v>75</v>
      </c>
      <c r="J1" s="1"/>
      <c r="K1" s="1"/>
      <c r="L1" s="1"/>
      <c r="M1" s="1"/>
      <c r="N1" s="1"/>
    </row>
    <row r="2" spans="1:7" ht="12.75">
      <c r="A2" s="3" t="s">
        <v>26</v>
      </c>
      <c r="B2" s="157" t="s">
        <v>98</v>
      </c>
      <c r="E2" s="183" t="s">
        <v>55</v>
      </c>
      <c r="F2" s="183"/>
      <c r="G2" s="183"/>
    </row>
    <row r="3" spans="1:2" ht="12.75">
      <c r="A3" s="3" t="s">
        <v>0</v>
      </c>
      <c r="B3" s="38" t="s">
        <v>99</v>
      </c>
    </row>
    <row r="4" spans="1:2" ht="12.75">
      <c r="A4" s="4" t="s">
        <v>30</v>
      </c>
      <c r="B4" s="38">
        <v>448</v>
      </c>
    </row>
    <row r="5" spans="1:2" ht="12.75">
      <c r="A5" s="5" t="s">
        <v>28</v>
      </c>
      <c r="B5" s="140">
        <f>B6+B7</f>
        <v>6368</v>
      </c>
    </row>
    <row r="6" spans="1:2" ht="12.75">
      <c r="A6" s="6" t="s">
        <v>27</v>
      </c>
      <c r="B6" s="146">
        <v>1024</v>
      </c>
    </row>
    <row r="7" spans="1:2" ht="13.5" thickBot="1">
      <c r="A7" s="7" t="s">
        <v>29</v>
      </c>
      <c r="B7" s="147">
        <v>5344</v>
      </c>
    </row>
    <row r="8" spans="1:6" ht="12.75">
      <c r="A8" s="8" t="s">
        <v>31</v>
      </c>
      <c r="B8" s="132">
        <v>978322.66</v>
      </c>
      <c r="C8" s="184"/>
      <c r="D8" s="204"/>
      <c r="E8" s="183"/>
      <c r="F8" s="183"/>
    </row>
    <row r="9" spans="1:6" ht="12.75">
      <c r="A9" s="9" t="s">
        <v>32</v>
      </c>
      <c r="B9" s="133">
        <f>M45</f>
        <v>972439.38</v>
      </c>
      <c r="C9" s="184"/>
      <c r="D9" s="187"/>
      <c r="E9" s="183"/>
      <c r="F9" s="183"/>
    </row>
    <row r="10" spans="1:6" ht="13.5" thickBot="1">
      <c r="A10" s="11" t="s">
        <v>33</v>
      </c>
      <c r="B10" s="134">
        <f>B8-B9</f>
        <v>5883.280000000028</v>
      </c>
      <c r="C10" s="184"/>
      <c r="D10" s="187"/>
      <c r="E10" s="183"/>
      <c r="F10" s="183"/>
    </row>
    <row r="11" spans="1:3" ht="12.75">
      <c r="A11" s="185" t="s">
        <v>40</v>
      </c>
      <c r="B11" s="185"/>
      <c r="C11" s="12"/>
    </row>
    <row r="12" spans="1:3" ht="12.75">
      <c r="A12" s="3" t="s">
        <v>34</v>
      </c>
      <c r="B12" s="13">
        <v>131</v>
      </c>
      <c r="C12" s="12"/>
    </row>
    <row r="13" spans="1:14" ht="12.75" customHeight="1">
      <c r="A13" s="3" t="s">
        <v>2</v>
      </c>
      <c r="B13" s="131">
        <f>IF(M45&gt;0,B8/B5,0)</f>
        <v>153.6310709798995</v>
      </c>
      <c r="C13" s="12"/>
      <c r="L13" s="176" t="s">
        <v>49</v>
      </c>
      <c r="M13" s="176"/>
      <c r="N13" s="176"/>
    </row>
    <row r="14" spans="1:14" ht="12.75">
      <c r="A14" s="14" t="s">
        <v>3</v>
      </c>
      <c r="B14" s="15">
        <f>B13/B12</f>
        <v>1.1727562670221336</v>
      </c>
      <c r="E14" s="42"/>
      <c r="L14" s="177" t="s">
        <v>50</v>
      </c>
      <c r="M14" s="177"/>
      <c r="N14" s="41">
        <v>2</v>
      </c>
    </row>
    <row r="15" spans="1:14" ht="12.75">
      <c r="A15" s="182" t="s">
        <v>41</v>
      </c>
      <c r="B15" s="182"/>
      <c r="C15" s="12"/>
      <c r="E15" s="43"/>
      <c r="L15" s="177" t="s">
        <v>53</v>
      </c>
      <c r="M15" s="177"/>
      <c r="N15" s="41">
        <v>1.25</v>
      </c>
    </row>
    <row r="16" spans="1:14" ht="12.75">
      <c r="A16" s="3" t="s">
        <v>42</v>
      </c>
      <c r="B16" s="16">
        <f>J45</f>
        <v>0.9152201922025371</v>
      </c>
      <c r="C16" s="12"/>
      <c r="L16" s="177" t="s">
        <v>52</v>
      </c>
      <c r="M16" s="177"/>
      <c r="N16" s="41">
        <v>2.63</v>
      </c>
    </row>
    <row r="17" spans="1:14" ht="13.5" thickBot="1">
      <c r="A17" s="3" t="s">
        <v>43</v>
      </c>
      <c r="B17" s="17">
        <f>K45</f>
        <v>0.923126287187057</v>
      </c>
      <c r="C17" s="12"/>
      <c r="L17" s="177" t="s">
        <v>51</v>
      </c>
      <c r="M17" s="177"/>
      <c r="N17" s="41">
        <v>8.33</v>
      </c>
    </row>
    <row r="18" spans="1:3" ht="18" thickBot="1">
      <c r="A18" s="18" t="s">
        <v>44</v>
      </c>
      <c r="B18" s="19">
        <f>L45</f>
        <v>0.9219535436990651</v>
      </c>
      <c r="C18" s="12"/>
    </row>
    <row r="19" spans="1:14" ht="18.75" customHeight="1">
      <c r="A19" s="174" t="s">
        <v>1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</row>
    <row r="20" spans="1:14" s="20" customFormat="1" ht="39" customHeight="1">
      <c r="A20" s="186"/>
      <c r="B20" s="179" t="s">
        <v>37</v>
      </c>
      <c r="C20" s="179"/>
      <c r="D20" s="178" t="s">
        <v>38</v>
      </c>
      <c r="E20" s="178"/>
      <c r="F20" s="179"/>
      <c r="G20" s="178" t="s">
        <v>39</v>
      </c>
      <c r="H20" s="179"/>
      <c r="I20" s="179"/>
      <c r="J20" s="180" t="s">
        <v>4</v>
      </c>
      <c r="K20" s="181"/>
      <c r="L20" s="181"/>
      <c r="M20" s="172" t="s">
        <v>46</v>
      </c>
      <c r="N20" s="172" t="s">
        <v>47</v>
      </c>
    </row>
    <row r="21" spans="1:14" s="20" customFormat="1" ht="12.75">
      <c r="A21" s="186"/>
      <c r="B21" s="48" t="s">
        <v>27</v>
      </c>
      <c r="C21" s="48" t="s">
        <v>29</v>
      </c>
      <c r="D21" s="21" t="s">
        <v>27</v>
      </c>
      <c r="E21" s="21" t="s">
        <v>29</v>
      </c>
      <c r="F21" s="21" t="s">
        <v>5</v>
      </c>
      <c r="G21" s="21" t="s">
        <v>27</v>
      </c>
      <c r="H21" s="21" t="s">
        <v>29</v>
      </c>
      <c r="I21" s="21" t="s">
        <v>5</v>
      </c>
      <c r="J21" s="21" t="s">
        <v>27</v>
      </c>
      <c r="K21" s="21" t="s">
        <v>29</v>
      </c>
      <c r="L21" s="22" t="s">
        <v>45</v>
      </c>
      <c r="M21" s="173"/>
      <c r="N21" s="173"/>
    </row>
    <row r="22" spans="1:14" ht="12.75">
      <c r="A22" s="23" t="s">
        <v>6</v>
      </c>
      <c r="B22" s="63">
        <v>0.05</v>
      </c>
      <c r="C22" s="63">
        <v>0.055</v>
      </c>
      <c r="D22" s="25">
        <f>B6*B22</f>
        <v>51.2</v>
      </c>
      <c r="E22" s="25">
        <f>B7*C22</f>
        <v>293.92</v>
      </c>
      <c r="F22" s="25">
        <f>D22+E22</f>
        <v>345.12</v>
      </c>
      <c r="G22" s="39">
        <v>46.541</v>
      </c>
      <c r="H22" s="39">
        <v>310.714</v>
      </c>
      <c r="I22" s="26">
        <f>G22+H22</f>
        <v>357.255</v>
      </c>
      <c r="J22" s="27">
        <f>IF(D22&gt;0,G22/D22,0)</f>
        <v>0.9090039062499999</v>
      </c>
      <c r="K22" s="27">
        <f>IF(E22&gt;0,H22/E22,0)</f>
        <v>1.057137996733805</v>
      </c>
      <c r="L22" s="28">
        <f>IF(I22&gt;0,I22/F22,0)</f>
        <v>1.0351616828929069</v>
      </c>
      <c r="M22" s="40">
        <f>2213.36+158940.59</f>
        <v>161153.94999999998</v>
      </c>
      <c r="N22" s="29">
        <f>IF(I22&gt;0,M22/I22,0)</f>
        <v>451.0894179227722</v>
      </c>
    </row>
    <row r="23" spans="1:14" ht="12.75">
      <c r="A23" s="23" t="s">
        <v>7</v>
      </c>
      <c r="B23" s="63">
        <v>0.02</v>
      </c>
      <c r="C23" s="63">
        <v>0.024</v>
      </c>
      <c r="D23" s="25">
        <f>B6*B23</f>
        <v>20.48</v>
      </c>
      <c r="E23" s="25">
        <f>B7*C23</f>
        <v>128.256</v>
      </c>
      <c r="F23" s="25">
        <f aca="true" t="shared" si="0" ref="F23:F43">D23+E23</f>
        <v>148.736</v>
      </c>
      <c r="G23" s="39">
        <v>14.984</v>
      </c>
      <c r="H23" s="39">
        <v>89.212</v>
      </c>
      <c r="I23" s="26">
        <f aca="true" t="shared" si="1" ref="I23:I43">G23+H23</f>
        <v>104.196</v>
      </c>
      <c r="J23" s="27">
        <f aca="true" t="shared" si="2" ref="J23:L44">IF(D23&gt;0,G23/D23,0)</f>
        <v>0.7316406249999999</v>
      </c>
      <c r="K23" s="27">
        <f t="shared" si="2"/>
        <v>0.6955775948103793</v>
      </c>
      <c r="L23" s="28">
        <f t="shared" si="2"/>
        <v>0.7005432444061962</v>
      </c>
      <c r="M23" s="40">
        <v>34731.6</v>
      </c>
      <c r="N23" s="29">
        <f aca="true" t="shared" si="3" ref="N23:N43">IF(I23&gt;0,M23/I23,0)</f>
        <v>333.3294944143729</v>
      </c>
    </row>
    <row r="24" spans="1:14" ht="12.75">
      <c r="A24" s="23" t="s">
        <v>97</v>
      </c>
      <c r="B24" s="158">
        <v>0.02</v>
      </c>
      <c r="C24" s="63">
        <v>0.025</v>
      </c>
      <c r="D24" s="25">
        <f>B6*B24</f>
        <v>20.48</v>
      </c>
      <c r="E24" s="25">
        <f>B7*C24</f>
        <v>133.6</v>
      </c>
      <c r="F24" s="25">
        <f>D24+E24</f>
        <v>154.07999999999998</v>
      </c>
      <c r="G24" s="39">
        <v>18.99</v>
      </c>
      <c r="H24" s="39">
        <v>125.294</v>
      </c>
      <c r="I24" s="26">
        <f>G24+H24</f>
        <v>144.284</v>
      </c>
      <c r="J24" s="27">
        <f>IF(D24&gt;0,G24/D24,0)</f>
        <v>0.9272460937499999</v>
      </c>
      <c r="K24" s="27">
        <f>IF(E24&gt;0,H24/E24,0)</f>
        <v>0.9378293413173653</v>
      </c>
      <c r="L24" s="28">
        <f>IF(F24&gt;0,I24/F24,0)</f>
        <v>0.936422637590862</v>
      </c>
      <c r="M24" s="40">
        <f>21712.15+22010.17</f>
        <v>43722.32</v>
      </c>
      <c r="N24" s="29">
        <f>IF(I24&gt;0,M24/I24,0)</f>
        <v>303.0295805494719</v>
      </c>
    </row>
    <row r="25" spans="1:14" ht="12.75">
      <c r="A25" s="31" t="s">
        <v>8</v>
      </c>
      <c r="B25" s="24">
        <v>0.032</v>
      </c>
      <c r="C25" s="24">
        <v>0.037</v>
      </c>
      <c r="D25" s="25">
        <f>B6*B25</f>
        <v>32.768</v>
      </c>
      <c r="E25" s="25">
        <f>B7*C25</f>
        <v>197.72799999999998</v>
      </c>
      <c r="F25" s="25">
        <f t="shared" si="0"/>
        <v>230.49599999999998</v>
      </c>
      <c r="G25" s="39">
        <v>30.956</v>
      </c>
      <c r="H25" s="39">
        <v>183.078</v>
      </c>
      <c r="I25" s="26">
        <f t="shared" si="1"/>
        <v>214.034</v>
      </c>
      <c r="J25" s="27">
        <f t="shared" si="2"/>
        <v>0.9447021484375</v>
      </c>
      <c r="K25" s="27">
        <f t="shared" si="2"/>
        <v>0.9259083184981389</v>
      </c>
      <c r="L25" s="28">
        <f t="shared" si="2"/>
        <v>0.9285801055115924</v>
      </c>
      <c r="M25" s="40">
        <f>37587.24+29998.27</f>
        <v>67585.51</v>
      </c>
      <c r="N25" s="29">
        <f t="shared" si="3"/>
        <v>315.76997112608274</v>
      </c>
    </row>
    <row r="26" spans="1:14" ht="12.75">
      <c r="A26" s="31" t="s">
        <v>35</v>
      </c>
      <c r="B26" s="24">
        <v>0.018</v>
      </c>
      <c r="C26" s="24">
        <v>0.021</v>
      </c>
      <c r="D26" s="25">
        <f>B6*B26</f>
        <v>18.432</v>
      </c>
      <c r="E26" s="25">
        <f>B7*C26</f>
        <v>112.224</v>
      </c>
      <c r="F26" s="25">
        <f t="shared" si="0"/>
        <v>130.656</v>
      </c>
      <c r="G26" s="39">
        <v>18.689</v>
      </c>
      <c r="H26" s="39">
        <v>108.529</v>
      </c>
      <c r="I26" s="26">
        <f t="shared" si="1"/>
        <v>127.21799999999999</v>
      </c>
      <c r="J26" s="27">
        <f t="shared" si="2"/>
        <v>1.0139431423611112</v>
      </c>
      <c r="K26" s="27">
        <f t="shared" si="2"/>
        <v>0.9670747790134017</v>
      </c>
      <c r="L26" s="28">
        <f t="shared" si="2"/>
        <v>0.9736866274797942</v>
      </c>
      <c r="M26" s="40">
        <v>83398.46</v>
      </c>
      <c r="N26" s="29">
        <f t="shared" si="3"/>
        <v>655.5555031520698</v>
      </c>
    </row>
    <row r="27" spans="1:14" ht="12.75">
      <c r="A27" s="31" t="s">
        <v>36</v>
      </c>
      <c r="B27" s="24">
        <v>0.009</v>
      </c>
      <c r="C27" s="24">
        <v>0.011</v>
      </c>
      <c r="D27" s="25">
        <f>B6*B27</f>
        <v>9.216</v>
      </c>
      <c r="E27" s="25">
        <f>B7*C27</f>
        <v>58.784</v>
      </c>
      <c r="F27" s="25">
        <f t="shared" si="0"/>
        <v>68</v>
      </c>
      <c r="G27" s="39">
        <v>9.224</v>
      </c>
      <c r="H27" s="39">
        <v>65.037</v>
      </c>
      <c r="I27" s="26">
        <f t="shared" si="1"/>
        <v>74.26100000000001</v>
      </c>
      <c r="J27" s="27">
        <f t="shared" si="2"/>
        <v>1.0008680555555556</v>
      </c>
      <c r="K27" s="27">
        <f t="shared" si="2"/>
        <v>1.1063724823081111</v>
      </c>
      <c r="L27" s="28">
        <f t="shared" si="2"/>
        <v>1.092073529411765</v>
      </c>
      <c r="M27" s="40">
        <v>7836.7</v>
      </c>
      <c r="N27" s="29">
        <f t="shared" si="3"/>
        <v>105.52914719704823</v>
      </c>
    </row>
    <row r="28" spans="1:14" ht="12.75">
      <c r="A28" s="32" t="s">
        <v>9</v>
      </c>
      <c r="B28" s="24">
        <v>0.39</v>
      </c>
      <c r="C28" s="24">
        <v>0.45</v>
      </c>
      <c r="D28" s="25">
        <f>B6*B28</f>
        <v>399.36</v>
      </c>
      <c r="E28" s="25">
        <f>B7*C28</f>
        <v>2404.8</v>
      </c>
      <c r="F28" s="25">
        <f t="shared" si="0"/>
        <v>2804.1600000000003</v>
      </c>
      <c r="G28" s="39">
        <v>394.538</v>
      </c>
      <c r="H28" s="39">
        <v>2278.457</v>
      </c>
      <c r="I28" s="26">
        <f t="shared" si="1"/>
        <v>2672.995</v>
      </c>
      <c r="J28" s="27">
        <f t="shared" si="2"/>
        <v>0.9879256810897435</v>
      </c>
      <c r="K28" s="27">
        <f t="shared" si="2"/>
        <v>0.9474621590153026</v>
      </c>
      <c r="L28" s="28">
        <f t="shared" si="2"/>
        <v>0.9532248516489785</v>
      </c>
      <c r="M28" s="40">
        <f>18963.01+120344.92+5134.96+24386.5</f>
        <v>168829.38999999998</v>
      </c>
      <c r="N28" s="29">
        <f t="shared" si="3"/>
        <v>63.16113198864943</v>
      </c>
    </row>
    <row r="29" spans="1:14" ht="12.75">
      <c r="A29" s="31" t="s">
        <v>10</v>
      </c>
      <c r="B29" s="24">
        <v>0.03</v>
      </c>
      <c r="C29" s="24">
        <v>0.04</v>
      </c>
      <c r="D29" s="25">
        <f>B6*B29</f>
        <v>30.72</v>
      </c>
      <c r="E29" s="25">
        <f>B7*C29</f>
        <v>213.76</v>
      </c>
      <c r="F29" s="25">
        <f t="shared" si="0"/>
        <v>244.48</v>
      </c>
      <c r="G29" s="39">
        <v>30.215</v>
      </c>
      <c r="H29" s="39">
        <v>198.325</v>
      </c>
      <c r="I29" s="26">
        <f t="shared" si="1"/>
        <v>228.54</v>
      </c>
      <c r="J29" s="27">
        <f t="shared" si="2"/>
        <v>0.9835611979166667</v>
      </c>
      <c r="K29" s="27">
        <f t="shared" si="2"/>
        <v>0.9277928517964071</v>
      </c>
      <c r="L29" s="28">
        <f t="shared" si="2"/>
        <v>0.934800392670157</v>
      </c>
      <c r="M29" s="40">
        <v>76566.6</v>
      </c>
      <c r="N29" s="29">
        <f t="shared" si="3"/>
        <v>335.0249409293778</v>
      </c>
    </row>
    <row r="30" spans="1:14" ht="12.75">
      <c r="A30" s="31" t="s">
        <v>11</v>
      </c>
      <c r="B30" s="24">
        <v>0.009</v>
      </c>
      <c r="C30" s="24">
        <v>0.011</v>
      </c>
      <c r="D30" s="25">
        <f>B6*B30</f>
        <v>9.216</v>
      </c>
      <c r="E30" s="25">
        <f>B7*C30</f>
        <v>58.784</v>
      </c>
      <c r="F30" s="25">
        <f t="shared" si="0"/>
        <v>68</v>
      </c>
      <c r="G30" s="39">
        <v>9.081</v>
      </c>
      <c r="H30" s="39">
        <v>58.076</v>
      </c>
      <c r="I30" s="26">
        <f t="shared" si="1"/>
        <v>67.157</v>
      </c>
      <c r="J30" s="27">
        <f t="shared" si="2"/>
        <v>0.9853515625</v>
      </c>
      <c r="K30" s="27">
        <f t="shared" si="2"/>
        <v>0.98795590636908</v>
      </c>
      <c r="L30" s="28">
        <f t="shared" si="2"/>
        <v>0.9876029411764705</v>
      </c>
      <c r="M30" s="40">
        <v>12021.1</v>
      </c>
      <c r="N30" s="29">
        <f t="shared" si="3"/>
        <v>178.99995532855846</v>
      </c>
    </row>
    <row r="31" spans="1:14" ht="12.75">
      <c r="A31" s="31" t="s">
        <v>12</v>
      </c>
      <c r="B31" s="24">
        <v>0.004</v>
      </c>
      <c r="C31" s="24">
        <v>0.006</v>
      </c>
      <c r="D31" s="25">
        <f>B6*B31</f>
        <v>4.096</v>
      </c>
      <c r="E31" s="25">
        <f>B7*C31</f>
        <v>32.064</v>
      </c>
      <c r="F31" s="25">
        <f t="shared" si="0"/>
        <v>36.16</v>
      </c>
      <c r="G31" s="39">
        <v>4.974</v>
      </c>
      <c r="H31" s="39">
        <v>28.879</v>
      </c>
      <c r="I31" s="26">
        <f t="shared" si="1"/>
        <v>33.853</v>
      </c>
      <c r="J31" s="27">
        <f t="shared" si="2"/>
        <v>1.21435546875</v>
      </c>
      <c r="K31" s="27">
        <f t="shared" si="2"/>
        <v>0.9006674151696608</v>
      </c>
      <c r="L31" s="28">
        <f t="shared" si="2"/>
        <v>0.9362002212389382</v>
      </c>
      <c r="M31" s="40">
        <v>11377.4</v>
      </c>
      <c r="N31" s="29">
        <f t="shared" si="3"/>
        <v>336.0824742268041</v>
      </c>
    </row>
    <row r="32" spans="1:14" ht="12.75">
      <c r="A32" s="31" t="s">
        <v>13</v>
      </c>
      <c r="B32" s="24">
        <v>1</v>
      </c>
      <c r="C32" s="24">
        <v>1</v>
      </c>
      <c r="D32" s="25">
        <f>B6*B32</f>
        <v>1024</v>
      </c>
      <c r="E32" s="25">
        <f>B7*C32</f>
        <v>5344</v>
      </c>
      <c r="F32" s="25">
        <f t="shared" si="0"/>
        <v>6368</v>
      </c>
      <c r="G32" s="39">
        <v>911.6</v>
      </c>
      <c r="H32" s="39">
        <v>4913.3</v>
      </c>
      <c r="I32" s="26">
        <f t="shared" si="1"/>
        <v>5824.900000000001</v>
      </c>
      <c r="J32" s="27">
        <f t="shared" si="2"/>
        <v>0.890234375</v>
      </c>
      <c r="K32" s="27">
        <f t="shared" si="2"/>
        <v>0.9194049401197605</v>
      </c>
      <c r="L32" s="28">
        <f t="shared" si="2"/>
        <v>0.9147141959798996</v>
      </c>
      <c r="M32" s="40">
        <v>43640.34</v>
      </c>
      <c r="N32" s="29">
        <f t="shared" si="3"/>
        <v>7.492032481244312</v>
      </c>
    </row>
    <row r="33" spans="1:14" ht="12.75">
      <c r="A33" s="31" t="s">
        <v>14</v>
      </c>
      <c r="B33" s="24">
        <v>0.025</v>
      </c>
      <c r="C33" s="24">
        <v>0.029</v>
      </c>
      <c r="D33" s="25">
        <f>B6*B33</f>
        <v>25.6</v>
      </c>
      <c r="E33" s="25">
        <f>B7*C33</f>
        <v>154.976</v>
      </c>
      <c r="F33" s="25">
        <f t="shared" si="0"/>
        <v>180.576</v>
      </c>
      <c r="G33" s="39">
        <v>22.125</v>
      </c>
      <c r="H33" s="39">
        <v>131.499</v>
      </c>
      <c r="I33" s="26">
        <f t="shared" si="1"/>
        <v>153.624</v>
      </c>
      <c r="J33" s="27">
        <f t="shared" si="2"/>
        <v>0.8642578125</v>
      </c>
      <c r="K33" s="27">
        <f t="shared" si="2"/>
        <v>0.8485120276688003</v>
      </c>
      <c r="L33" s="28">
        <f t="shared" si="2"/>
        <v>0.8507442849548112</v>
      </c>
      <c r="M33" s="40">
        <v>3694.15</v>
      </c>
      <c r="N33" s="29">
        <f t="shared" si="3"/>
        <v>24.046698432536584</v>
      </c>
    </row>
    <row r="34" spans="1:14" ht="12.75">
      <c r="A34" s="31" t="s">
        <v>15</v>
      </c>
      <c r="B34" s="24">
        <v>0.03</v>
      </c>
      <c r="C34" s="24">
        <v>0.043</v>
      </c>
      <c r="D34" s="25">
        <f>B6*B34</f>
        <v>30.72</v>
      </c>
      <c r="E34" s="25">
        <f>B7*C34</f>
        <v>229.79199999999997</v>
      </c>
      <c r="F34" s="25">
        <f t="shared" si="0"/>
        <v>260.51199999999994</v>
      </c>
      <c r="G34" s="39">
        <v>36.997</v>
      </c>
      <c r="H34" s="39">
        <v>246.33</v>
      </c>
      <c r="I34" s="26">
        <f t="shared" si="1"/>
        <v>283.327</v>
      </c>
      <c r="J34" s="27">
        <f t="shared" si="2"/>
        <v>1.2043294270833333</v>
      </c>
      <c r="K34" s="27">
        <f t="shared" si="2"/>
        <v>1.0719694332265703</v>
      </c>
      <c r="L34" s="28">
        <f t="shared" si="2"/>
        <v>1.0875775396142981</v>
      </c>
      <c r="M34" s="40">
        <f>461.89+1077.93+2541.42+700.06+1077.68+37.11+121.11+250.41+1170.4+8219.37</f>
        <v>15657.380000000001</v>
      </c>
      <c r="N34" s="29">
        <f t="shared" si="3"/>
        <v>55.26257645759141</v>
      </c>
    </row>
    <row r="35" spans="1:14" ht="12.75">
      <c r="A35" s="31" t="s">
        <v>16</v>
      </c>
      <c r="B35" s="24">
        <v>0.008</v>
      </c>
      <c r="C35" s="24">
        <v>0.012</v>
      </c>
      <c r="D35" s="25">
        <f>B6*B35</f>
        <v>8.192</v>
      </c>
      <c r="E35" s="25">
        <f>B7*C35</f>
        <v>64.128</v>
      </c>
      <c r="F35" s="25">
        <f t="shared" si="0"/>
        <v>72.32</v>
      </c>
      <c r="G35" s="39">
        <v>8.806</v>
      </c>
      <c r="H35" s="39">
        <v>56.621</v>
      </c>
      <c r="I35" s="26">
        <f t="shared" si="1"/>
        <v>65.427</v>
      </c>
      <c r="J35" s="27">
        <f t="shared" si="2"/>
        <v>1.0749511718749998</v>
      </c>
      <c r="K35" s="27">
        <f t="shared" si="2"/>
        <v>0.8829372504990021</v>
      </c>
      <c r="L35" s="28">
        <f t="shared" si="2"/>
        <v>0.9046875000000002</v>
      </c>
      <c r="M35" s="40">
        <v>2551.7</v>
      </c>
      <c r="N35" s="29">
        <f t="shared" si="3"/>
        <v>39.000718357864486</v>
      </c>
    </row>
    <row r="36" spans="1:14" ht="12.75">
      <c r="A36" s="31" t="s">
        <v>17</v>
      </c>
      <c r="B36" s="24">
        <v>0.025</v>
      </c>
      <c r="C36" s="24">
        <v>0.03</v>
      </c>
      <c r="D36" s="25">
        <f>B6*B36</f>
        <v>25.6</v>
      </c>
      <c r="E36" s="25">
        <f>B7*C36</f>
        <v>160.32</v>
      </c>
      <c r="F36" s="25">
        <f t="shared" si="0"/>
        <v>185.92</v>
      </c>
      <c r="G36" s="39">
        <v>24.508</v>
      </c>
      <c r="H36" s="39">
        <v>159.2</v>
      </c>
      <c r="I36" s="26">
        <f t="shared" si="1"/>
        <v>183.708</v>
      </c>
      <c r="J36" s="27">
        <f t="shared" si="2"/>
        <v>0.9573437499999999</v>
      </c>
      <c r="K36" s="27">
        <f t="shared" si="2"/>
        <v>0.9930139720558881</v>
      </c>
      <c r="L36" s="28">
        <f t="shared" si="2"/>
        <v>0.9881024096385542</v>
      </c>
      <c r="M36" s="40">
        <v>13778.11</v>
      </c>
      <c r="N36" s="29">
        <f t="shared" si="3"/>
        <v>75.00005443421081</v>
      </c>
    </row>
    <row r="37" spans="1:14" ht="12.75">
      <c r="A37" s="31" t="s">
        <v>18</v>
      </c>
      <c r="B37" s="24">
        <v>0.012</v>
      </c>
      <c r="C37" s="24">
        <v>0.02</v>
      </c>
      <c r="D37" s="25">
        <f>B6*B37</f>
        <v>12.288</v>
      </c>
      <c r="E37" s="25">
        <f>B7*C37</f>
        <v>106.88</v>
      </c>
      <c r="F37" s="25">
        <f t="shared" si="0"/>
        <v>119.16799999999999</v>
      </c>
      <c r="G37" s="39">
        <v>6.973</v>
      </c>
      <c r="H37" s="39">
        <v>49.969</v>
      </c>
      <c r="I37" s="26">
        <f t="shared" si="1"/>
        <v>56.942</v>
      </c>
      <c r="J37" s="27">
        <f t="shared" si="2"/>
        <v>0.5674641927083333</v>
      </c>
      <c r="K37" s="27">
        <f t="shared" si="2"/>
        <v>0.4675243263473054</v>
      </c>
      <c r="L37" s="28">
        <f t="shared" si="2"/>
        <v>0.4778296186895811</v>
      </c>
      <c r="M37" s="40">
        <f>3777.12+2722.26</f>
        <v>6499.38</v>
      </c>
      <c r="N37" s="29">
        <f t="shared" si="3"/>
        <v>114.14035334199713</v>
      </c>
    </row>
    <row r="38" spans="1:14" ht="12.75">
      <c r="A38" s="31" t="s">
        <v>19</v>
      </c>
      <c r="B38" s="24">
        <v>0.009</v>
      </c>
      <c r="C38" s="24">
        <v>0.011</v>
      </c>
      <c r="D38" s="25">
        <f>B6*B38</f>
        <v>9.216</v>
      </c>
      <c r="E38" s="25">
        <f>B7*C38</f>
        <v>58.784</v>
      </c>
      <c r="F38" s="25">
        <f t="shared" si="0"/>
        <v>68</v>
      </c>
      <c r="G38" s="39">
        <v>9.356</v>
      </c>
      <c r="H38" s="39">
        <v>60.374</v>
      </c>
      <c r="I38" s="26">
        <f t="shared" si="1"/>
        <v>69.73</v>
      </c>
      <c r="J38" s="27">
        <f t="shared" si="2"/>
        <v>1.0151909722222223</v>
      </c>
      <c r="K38" s="27">
        <f t="shared" si="2"/>
        <v>1.0270481763745238</v>
      </c>
      <c r="L38" s="28">
        <f t="shared" si="2"/>
        <v>1.0254411764705882</v>
      </c>
      <c r="M38" s="40">
        <f>3675.91+5005.65</f>
        <v>8681.56</v>
      </c>
      <c r="N38" s="29">
        <f t="shared" si="3"/>
        <v>124.50250968019502</v>
      </c>
    </row>
    <row r="39" spans="1:14" ht="12.75">
      <c r="A39" s="31" t="s">
        <v>20</v>
      </c>
      <c r="B39" s="24">
        <v>0.095</v>
      </c>
      <c r="C39" s="24">
        <v>0.1</v>
      </c>
      <c r="D39" s="25">
        <f>B6*B39</f>
        <v>97.28</v>
      </c>
      <c r="E39" s="25">
        <f>B7*C39</f>
        <v>534.4</v>
      </c>
      <c r="F39" s="25">
        <f t="shared" si="0"/>
        <v>631.68</v>
      </c>
      <c r="G39" s="39">
        <f>2.118+2.184+98.321</f>
        <v>102.62299999999999</v>
      </c>
      <c r="H39" s="39">
        <v>530.721</v>
      </c>
      <c r="I39" s="26">
        <f t="shared" si="1"/>
        <v>633.344</v>
      </c>
      <c r="J39" s="27">
        <f t="shared" si="2"/>
        <v>1.0549239309210525</v>
      </c>
      <c r="K39" s="27">
        <f t="shared" si="2"/>
        <v>0.9931156437125749</v>
      </c>
      <c r="L39" s="28">
        <f t="shared" si="2"/>
        <v>1.0026342451874368</v>
      </c>
      <c r="M39" s="40">
        <f>2525.82+2928.85+47268.56</f>
        <v>52723.229999999996</v>
      </c>
      <c r="N39" s="29">
        <f t="shared" si="3"/>
        <v>83.24580322857719</v>
      </c>
    </row>
    <row r="40" spans="1:14" ht="12.75">
      <c r="A40" s="31" t="s">
        <v>21</v>
      </c>
      <c r="B40" s="24">
        <v>0.1</v>
      </c>
      <c r="C40" s="24">
        <v>0.1</v>
      </c>
      <c r="D40" s="25">
        <f>B6*B40</f>
        <v>102.4</v>
      </c>
      <c r="E40" s="25">
        <f>B7*C40</f>
        <v>534.4</v>
      </c>
      <c r="F40" s="25">
        <f t="shared" si="0"/>
        <v>636.8</v>
      </c>
      <c r="G40" s="39">
        <v>79.8</v>
      </c>
      <c r="H40" s="39">
        <v>485.4</v>
      </c>
      <c r="I40" s="26">
        <f t="shared" si="1"/>
        <v>565.1999999999999</v>
      </c>
      <c r="J40" s="27">
        <f t="shared" si="2"/>
        <v>0.7792968749999999</v>
      </c>
      <c r="K40" s="27">
        <f t="shared" si="2"/>
        <v>0.9083083832335329</v>
      </c>
      <c r="L40" s="28">
        <f t="shared" si="2"/>
        <v>0.8875628140703518</v>
      </c>
      <c r="M40" s="40">
        <f>22824.47+7594.95</f>
        <v>30419.420000000002</v>
      </c>
      <c r="N40" s="29">
        <f t="shared" si="3"/>
        <v>53.820629865534336</v>
      </c>
    </row>
    <row r="41" spans="1:14" ht="12.75">
      <c r="A41" s="31" t="s">
        <v>22</v>
      </c>
      <c r="B41" s="63">
        <v>0.12</v>
      </c>
      <c r="C41" s="63">
        <v>0.14</v>
      </c>
      <c r="D41" s="25">
        <f>B6*B41</f>
        <v>122.88</v>
      </c>
      <c r="E41" s="25">
        <f>B7*C41</f>
        <v>748.1600000000001</v>
      </c>
      <c r="F41" s="25">
        <f t="shared" si="0"/>
        <v>871.0400000000001</v>
      </c>
      <c r="G41" s="39">
        <v>105.022</v>
      </c>
      <c r="H41" s="39">
        <v>663.73</v>
      </c>
      <c r="I41" s="26">
        <f t="shared" si="1"/>
        <v>768.7520000000001</v>
      </c>
      <c r="J41" s="27">
        <f t="shared" si="2"/>
        <v>0.8546712239583334</v>
      </c>
      <c r="K41" s="27">
        <f t="shared" si="2"/>
        <v>0.8871498075278015</v>
      </c>
      <c r="L41" s="28">
        <f t="shared" si="2"/>
        <v>0.8825679647318149</v>
      </c>
      <c r="M41" s="40">
        <v>19769.86</v>
      </c>
      <c r="N41" s="29">
        <f t="shared" si="3"/>
        <v>25.7168241513518</v>
      </c>
    </row>
    <row r="42" spans="1:14" ht="12.75">
      <c r="A42" s="31" t="s">
        <v>23</v>
      </c>
      <c r="B42" s="24">
        <v>0.18</v>
      </c>
      <c r="C42" s="24">
        <v>0.22</v>
      </c>
      <c r="D42" s="25">
        <f>B6*B42</f>
        <v>184.32</v>
      </c>
      <c r="E42" s="25">
        <f>B7*C42</f>
        <v>1175.68</v>
      </c>
      <c r="F42" s="25">
        <f t="shared" si="0"/>
        <v>1360</v>
      </c>
      <c r="G42" s="39">
        <v>160.645</v>
      </c>
      <c r="H42" s="39">
        <v>1072.725</v>
      </c>
      <c r="I42" s="26">
        <f t="shared" si="1"/>
        <v>1233.37</v>
      </c>
      <c r="J42" s="27">
        <f t="shared" si="2"/>
        <v>0.871554904513889</v>
      </c>
      <c r="K42" s="27">
        <f t="shared" si="2"/>
        <v>0.9124294025585192</v>
      </c>
      <c r="L42" s="28">
        <f t="shared" si="2"/>
        <v>0.9068897058823528</v>
      </c>
      <c r="M42" s="40">
        <f>16646.31+3290.93+10042.13+5862.51+6949.44+2779.91+457.78+9946.56+2404.13+2268.06+7122.09</f>
        <v>67769.85</v>
      </c>
      <c r="N42" s="29">
        <f t="shared" si="3"/>
        <v>54.946893470734665</v>
      </c>
    </row>
    <row r="43" spans="1:14" ht="12.75">
      <c r="A43" s="31" t="s">
        <v>24</v>
      </c>
      <c r="B43" s="24">
        <v>0.04</v>
      </c>
      <c r="C43" s="24">
        <v>0.05</v>
      </c>
      <c r="D43" s="25">
        <f>B6*B43</f>
        <v>40.96</v>
      </c>
      <c r="E43" s="25">
        <f>B7*C43</f>
        <v>267.2</v>
      </c>
      <c r="F43" s="25">
        <f t="shared" si="0"/>
        <v>308.15999999999997</v>
      </c>
      <c r="G43" s="39">
        <v>40.8</v>
      </c>
      <c r="H43" s="39">
        <v>242.767</v>
      </c>
      <c r="I43" s="26">
        <f t="shared" si="1"/>
        <v>283.567</v>
      </c>
      <c r="J43" s="27">
        <f t="shared" si="2"/>
        <v>0.9960937499999999</v>
      </c>
      <c r="K43" s="27">
        <f t="shared" si="2"/>
        <v>0.9085591317365269</v>
      </c>
      <c r="L43" s="28">
        <f t="shared" si="2"/>
        <v>0.9201940550363449</v>
      </c>
      <c r="M43" s="40">
        <v>14177.7</v>
      </c>
      <c r="N43" s="29">
        <f t="shared" si="3"/>
        <v>49.997707772766226</v>
      </c>
    </row>
    <row r="44" spans="1:14" ht="12.75">
      <c r="A44" s="32" t="s">
        <v>25</v>
      </c>
      <c r="B44" s="64">
        <v>0.06</v>
      </c>
      <c r="C44" s="64">
        <v>0.08</v>
      </c>
      <c r="D44" s="25">
        <f>B6*B44</f>
        <v>61.44</v>
      </c>
      <c r="E44" s="25">
        <f>B7*C44</f>
        <v>427.52</v>
      </c>
      <c r="F44" s="25">
        <f>D44+E44</f>
        <v>488.96</v>
      </c>
      <c r="G44" s="39">
        <v>54.959</v>
      </c>
      <c r="H44" s="39">
        <v>348.728</v>
      </c>
      <c r="I44" s="26">
        <f>G44+H44</f>
        <v>403.687</v>
      </c>
      <c r="J44" s="27">
        <f t="shared" si="2"/>
        <v>0.8945149739583335</v>
      </c>
      <c r="K44" s="27">
        <f t="shared" si="2"/>
        <v>0.8156998502994013</v>
      </c>
      <c r="L44" s="28">
        <f t="shared" si="2"/>
        <v>0.8256033213350786</v>
      </c>
      <c r="M44" s="40">
        <f>15124.55+10729.12</f>
        <v>25853.67</v>
      </c>
      <c r="N44" s="29">
        <f>IF(I44&gt;0,M44/I44,0)</f>
        <v>64.04385080520304</v>
      </c>
    </row>
    <row r="45" spans="1:14" s="20" customFormat="1" ht="12.75">
      <c r="A45" s="44" t="s">
        <v>54</v>
      </c>
      <c r="B45" s="45"/>
      <c r="C45" s="45"/>
      <c r="D45" s="46">
        <f>SUM(D22:D44)</f>
        <v>2340.864</v>
      </c>
      <c r="E45" s="46">
        <f>SUM(E22:E44)</f>
        <v>13440.16</v>
      </c>
      <c r="F45" s="46">
        <f>D45+E45</f>
        <v>15781.024</v>
      </c>
      <c r="G45" s="56">
        <f>SUM(G22:G44)</f>
        <v>2142.406</v>
      </c>
      <c r="H45" s="56">
        <f>SUM(H22:H44)</f>
        <v>12406.964999999997</v>
      </c>
      <c r="I45" s="47">
        <f>G45+H45</f>
        <v>14549.370999999996</v>
      </c>
      <c r="J45" s="59">
        <f>IF(G45&gt;0,G45/D45,0)</f>
        <v>0.9152201922025371</v>
      </c>
      <c r="K45" s="59">
        <f>IF(E45&gt;0,H45/E45,0)</f>
        <v>0.923126287187057</v>
      </c>
      <c r="L45" s="59">
        <f>IF(F45&gt;0,I45/F45,0)</f>
        <v>0.9219535436990651</v>
      </c>
      <c r="M45" s="57">
        <f>SUM(SUM(M22:M44))</f>
        <v>972439.38</v>
      </c>
      <c r="N45" s="60"/>
    </row>
    <row r="46" ht="13.5" thickBot="1"/>
    <row r="47" spans="1:14" s="37" customFormat="1" ht="21" customHeight="1" thickBot="1">
      <c r="A47" s="33" t="s">
        <v>48</v>
      </c>
      <c r="B47" s="34">
        <f>SUM(B22:B24)</f>
        <v>0.09000000000000001</v>
      </c>
      <c r="C47" s="34">
        <f>SUM(C22:C24)</f>
        <v>0.10400000000000001</v>
      </c>
      <c r="D47" s="35">
        <f aca="true" t="shared" si="4" ref="D47:I47">SUM(D22:D24)</f>
        <v>92.16000000000001</v>
      </c>
      <c r="E47" s="35">
        <f t="shared" si="4"/>
        <v>555.7760000000001</v>
      </c>
      <c r="F47" s="35">
        <f t="shared" si="4"/>
        <v>647.9359999999999</v>
      </c>
      <c r="G47" s="35">
        <f t="shared" si="4"/>
        <v>80.515</v>
      </c>
      <c r="H47" s="35">
        <f t="shared" si="4"/>
        <v>525.22</v>
      </c>
      <c r="I47" s="35">
        <f t="shared" si="4"/>
        <v>605.735</v>
      </c>
      <c r="J47" s="61">
        <f>IF(G47=0,0,G47/D47)</f>
        <v>0.8736436631944443</v>
      </c>
      <c r="K47" s="61">
        <f>IF(H47=0,0,H47/E47)</f>
        <v>0.9450210156609856</v>
      </c>
      <c r="L47" s="61">
        <f>IF(I47&gt;0,I47/F47,0)</f>
        <v>0.934868567265903</v>
      </c>
      <c r="M47" s="58">
        <f>SUM(M22:M24)</f>
        <v>239607.87</v>
      </c>
      <c r="N47" s="36">
        <f>IF(M47=0,0,M47/I47)</f>
        <v>395.56550306652247</v>
      </c>
    </row>
  </sheetData>
  <sheetProtection password="CC53" sheet="1" formatCells="0" formatColumns="0" formatRows="0" insertColumns="0" insertRows="0" insertHyperlinks="0" deleteColumns="0" deleteRows="0" sort="0" autoFilter="0" pivotTables="0"/>
  <mergeCells count="19">
    <mergeCell ref="M20:M21"/>
    <mergeCell ref="E2:G2"/>
    <mergeCell ref="A15:B15"/>
    <mergeCell ref="L15:M15"/>
    <mergeCell ref="C8:C10"/>
    <mergeCell ref="D8:F10"/>
    <mergeCell ref="A11:B11"/>
    <mergeCell ref="L13:N13"/>
    <mergeCell ref="L14:M14"/>
    <mergeCell ref="A1:G1"/>
    <mergeCell ref="L16:M16"/>
    <mergeCell ref="L17:M17"/>
    <mergeCell ref="A19:N19"/>
    <mergeCell ref="A20:A21"/>
    <mergeCell ref="B20:C20"/>
    <mergeCell ref="D20:F20"/>
    <mergeCell ref="G20:I20"/>
    <mergeCell ref="N20:N21"/>
    <mergeCell ref="J20:L20"/>
  </mergeCells>
  <printOptions horizontalCentered="1"/>
  <pageMargins left="0.31496062992125984" right="0.31496062992125984" top="0.7480314960629921" bottom="0.35433070866141736" header="0" footer="0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4">
      <selection activeCell="M29" sqref="M29"/>
    </sheetView>
  </sheetViews>
  <sheetFormatPr defaultColWidth="9.125" defaultRowHeight="12.75"/>
  <cols>
    <col min="1" max="1" width="32.625" style="2" customWidth="1"/>
    <col min="2" max="3" width="12.125" style="2" customWidth="1"/>
    <col min="4" max="12" width="11.375" style="2" customWidth="1"/>
    <col min="13" max="13" width="12.50390625" style="2" customWidth="1"/>
    <col min="14" max="14" width="11.375" style="2" customWidth="1"/>
    <col min="15" max="15" width="10.50390625" style="2" customWidth="1"/>
    <col min="16" max="16384" width="9.125" style="2" customWidth="1"/>
  </cols>
  <sheetData>
    <row r="1" spans="1:14" ht="24" customHeight="1">
      <c r="A1" s="171" t="s">
        <v>87</v>
      </c>
      <c r="B1" s="171"/>
      <c r="C1" s="171"/>
      <c r="D1" s="171"/>
      <c r="E1" s="171"/>
      <c r="F1" s="171"/>
      <c r="G1" s="171"/>
      <c r="H1" s="119">
        <f>янв!H1</f>
        <v>2023</v>
      </c>
      <c r="I1" s="1" t="s">
        <v>75</v>
      </c>
      <c r="J1" s="1"/>
      <c r="K1" s="1"/>
      <c r="L1" s="1"/>
      <c r="M1" s="1"/>
      <c r="N1" s="1"/>
    </row>
    <row r="2" spans="1:7" ht="12.75">
      <c r="A2" s="3" t="s">
        <v>26</v>
      </c>
      <c r="B2" s="157" t="s">
        <v>98</v>
      </c>
      <c r="E2" s="183" t="s">
        <v>55</v>
      </c>
      <c r="F2" s="183"/>
      <c r="G2" s="183"/>
    </row>
    <row r="3" spans="1:2" ht="12.75">
      <c r="A3" s="3" t="s">
        <v>0</v>
      </c>
      <c r="B3" s="38" t="s">
        <v>99</v>
      </c>
    </row>
    <row r="4" spans="1:2" ht="12.75">
      <c r="A4" s="4" t="s">
        <v>30</v>
      </c>
      <c r="B4" s="38">
        <v>448</v>
      </c>
    </row>
    <row r="5" spans="1:2" ht="12.75">
      <c r="A5" s="5" t="s">
        <v>28</v>
      </c>
      <c r="B5" s="140">
        <f>B6+B7</f>
        <v>5888</v>
      </c>
    </row>
    <row r="6" spans="1:2" ht="12.75">
      <c r="A6" s="6" t="s">
        <v>27</v>
      </c>
      <c r="B6" s="146">
        <v>952</v>
      </c>
    </row>
    <row r="7" spans="1:2" ht="13.5" thickBot="1">
      <c r="A7" s="7" t="s">
        <v>29</v>
      </c>
      <c r="B7" s="147">
        <v>4936</v>
      </c>
    </row>
    <row r="8" spans="1:6" ht="12.75">
      <c r="A8" s="8" t="s">
        <v>31</v>
      </c>
      <c r="B8" s="132">
        <v>892433.15</v>
      </c>
      <c r="C8" s="184"/>
      <c r="D8" s="204"/>
      <c r="E8" s="183"/>
      <c r="F8" s="183"/>
    </row>
    <row r="9" spans="1:6" ht="12.75">
      <c r="A9" s="9" t="s">
        <v>32</v>
      </c>
      <c r="B9" s="133">
        <f>M45</f>
        <v>886964.0199999999</v>
      </c>
      <c r="C9" s="184"/>
      <c r="D9" s="187"/>
      <c r="E9" s="183"/>
      <c r="F9" s="183"/>
    </row>
    <row r="10" spans="1:6" ht="13.5" thickBot="1">
      <c r="A10" s="11" t="s">
        <v>33</v>
      </c>
      <c r="B10" s="134">
        <f>B8-B9</f>
        <v>5469.130000000121</v>
      </c>
      <c r="C10" s="184"/>
      <c r="D10" s="187"/>
      <c r="E10" s="183"/>
      <c r="F10" s="183"/>
    </row>
    <row r="11" spans="1:3" ht="12.75">
      <c r="A11" s="185" t="s">
        <v>40</v>
      </c>
      <c r="B11" s="185"/>
      <c r="C11" s="12"/>
    </row>
    <row r="12" spans="1:3" ht="12.75">
      <c r="A12" s="3" t="s">
        <v>34</v>
      </c>
      <c r="B12" s="13">
        <v>131</v>
      </c>
      <c r="C12" s="12"/>
    </row>
    <row r="13" spans="1:14" ht="12.75" customHeight="1">
      <c r="A13" s="3" t="s">
        <v>2</v>
      </c>
      <c r="B13" s="131">
        <f>IF(M45&gt;0,B8/B5,0)</f>
        <v>151.5681300951087</v>
      </c>
      <c r="C13" s="12"/>
      <c r="L13" s="176" t="s">
        <v>49</v>
      </c>
      <c r="M13" s="176"/>
      <c r="N13" s="176"/>
    </row>
    <row r="14" spans="1:14" ht="12.75">
      <c r="A14" s="14" t="s">
        <v>3</v>
      </c>
      <c r="B14" s="15">
        <f>B13/B12</f>
        <v>1.157008626680219</v>
      </c>
      <c r="E14" s="42"/>
      <c r="L14" s="177" t="s">
        <v>50</v>
      </c>
      <c r="M14" s="177"/>
      <c r="N14" s="41">
        <v>2</v>
      </c>
    </row>
    <row r="15" spans="1:14" ht="12.75">
      <c r="A15" s="182" t="s">
        <v>41</v>
      </c>
      <c r="B15" s="182"/>
      <c r="C15" s="12"/>
      <c r="E15" s="43"/>
      <c r="L15" s="177" t="s">
        <v>53</v>
      </c>
      <c r="M15" s="177"/>
      <c r="N15" s="41">
        <v>1.25</v>
      </c>
    </row>
    <row r="16" spans="1:14" ht="12.75">
      <c r="A16" s="3" t="s">
        <v>42</v>
      </c>
      <c r="B16" s="16">
        <f>J45</f>
        <v>0.9201993133211293</v>
      </c>
      <c r="C16" s="12"/>
      <c r="L16" s="177" t="s">
        <v>52</v>
      </c>
      <c r="M16" s="177"/>
      <c r="N16" s="41">
        <v>2.63</v>
      </c>
    </row>
    <row r="17" spans="1:14" ht="13.5" thickBot="1">
      <c r="A17" s="3" t="s">
        <v>43</v>
      </c>
      <c r="B17" s="17">
        <f>K45</f>
        <v>0.9206186704731096</v>
      </c>
      <c r="C17" s="12"/>
      <c r="L17" s="177" t="s">
        <v>51</v>
      </c>
      <c r="M17" s="177"/>
      <c r="N17" s="41">
        <v>8.33</v>
      </c>
    </row>
    <row r="18" spans="1:3" ht="18" thickBot="1">
      <c r="A18" s="18" t="s">
        <v>44</v>
      </c>
      <c r="B18" s="19">
        <f>L45</f>
        <v>0.920556119704637</v>
      </c>
      <c r="C18" s="12"/>
    </row>
    <row r="19" spans="1:14" ht="18.75" customHeight="1">
      <c r="A19" s="174" t="s">
        <v>1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</row>
    <row r="20" spans="1:14" s="20" customFormat="1" ht="39" customHeight="1">
      <c r="A20" s="186"/>
      <c r="B20" s="179" t="s">
        <v>37</v>
      </c>
      <c r="C20" s="179"/>
      <c r="D20" s="178" t="s">
        <v>38</v>
      </c>
      <c r="E20" s="178"/>
      <c r="F20" s="179"/>
      <c r="G20" s="178" t="s">
        <v>39</v>
      </c>
      <c r="H20" s="179"/>
      <c r="I20" s="179"/>
      <c r="J20" s="180" t="s">
        <v>4</v>
      </c>
      <c r="K20" s="181"/>
      <c r="L20" s="181"/>
      <c r="M20" s="172" t="s">
        <v>46</v>
      </c>
      <c r="N20" s="172" t="s">
        <v>47</v>
      </c>
    </row>
    <row r="21" spans="1:14" s="20" customFormat="1" ht="12.75">
      <c r="A21" s="186"/>
      <c r="B21" s="48" t="s">
        <v>27</v>
      </c>
      <c r="C21" s="48" t="s">
        <v>29</v>
      </c>
      <c r="D21" s="21" t="s">
        <v>27</v>
      </c>
      <c r="E21" s="21" t="s">
        <v>29</v>
      </c>
      <c r="F21" s="21" t="s">
        <v>5</v>
      </c>
      <c r="G21" s="21" t="s">
        <v>27</v>
      </c>
      <c r="H21" s="21" t="s">
        <v>29</v>
      </c>
      <c r="I21" s="21" t="s">
        <v>5</v>
      </c>
      <c r="J21" s="21" t="s">
        <v>27</v>
      </c>
      <c r="K21" s="21" t="s">
        <v>29</v>
      </c>
      <c r="L21" s="22" t="s">
        <v>45</v>
      </c>
      <c r="M21" s="173"/>
      <c r="N21" s="173"/>
    </row>
    <row r="22" spans="1:14" ht="12.75">
      <c r="A22" s="23" t="s">
        <v>6</v>
      </c>
      <c r="B22" s="63">
        <v>0.05</v>
      </c>
      <c r="C22" s="63">
        <v>0.055</v>
      </c>
      <c r="D22" s="25">
        <f>B6*B22</f>
        <v>47.6</v>
      </c>
      <c r="E22" s="25">
        <f>B7*C22</f>
        <v>271.48</v>
      </c>
      <c r="F22" s="25">
        <f>D22+E22</f>
        <v>319.08000000000004</v>
      </c>
      <c r="G22" s="39">
        <v>42.057</v>
      </c>
      <c r="H22" s="39">
        <v>278.015</v>
      </c>
      <c r="I22" s="26">
        <f>G22+H22</f>
        <v>320.072</v>
      </c>
      <c r="J22" s="27">
        <f>IF(D22&gt;0,G22/D22,0)</f>
        <v>0.8835504201680673</v>
      </c>
      <c r="K22" s="27">
        <f>IF(E22&gt;0,H22/E22,0)</f>
        <v>1.0240717548254015</v>
      </c>
      <c r="L22" s="28">
        <f>IF(I22&gt;0,I22/F22,0)</f>
        <v>1.003108938197317</v>
      </c>
      <c r="M22" s="40">
        <f>2301.75+142942.73</f>
        <v>145244.48</v>
      </c>
      <c r="N22" s="29">
        <f>IF(I22&gt;0,M22/I22,0)</f>
        <v>453.78689794796173</v>
      </c>
    </row>
    <row r="23" spans="1:14" ht="12.75">
      <c r="A23" s="23" t="s">
        <v>7</v>
      </c>
      <c r="B23" s="63">
        <v>0.02</v>
      </c>
      <c r="C23" s="63">
        <v>0.024</v>
      </c>
      <c r="D23" s="25">
        <f>B6*B23</f>
        <v>19.04</v>
      </c>
      <c r="E23" s="25">
        <f>B7*C23</f>
        <v>118.464</v>
      </c>
      <c r="F23" s="25">
        <f aca="true" t="shared" si="0" ref="F23:F43">D23+E23</f>
        <v>137.504</v>
      </c>
      <c r="G23" s="39">
        <v>17.217</v>
      </c>
      <c r="H23" s="39">
        <v>100.311</v>
      </c>
      <c r="I23" s="26">
        <f aca="true" t="shared" si="1" ref="I23:I43">G23+H23</f>
        <v>117.528</v>
      </c>
      <c r="J23" s="27">
        <f aca="true" t="shared" si="2" ref="J23:L44">IF(D23&gt;0,G23/D23,0)</f>
        <v>0.9042542016806723</v>
      </c>
      <c r="K23" s="27">
        <f t="shared" si="2"/>
        <v>0.8467635737439223</v>
      </c>
      <c r="L23" s="28">
        <f t="shared" si="2"/>
        <v>0.8547242262043288</v>
      </c>
      <c r="M23" s="40">
        <v>39176.06</v>
      </c>
      <c r="N23" s="29">
        <f aca="true" t="shared" si="3" ref="N23:N43">IF(I23&gt;0,M23/I23,0)</f>
        <v>333.3338438499761</v>
      </c>
    </row>
    <row r="24" spans="1:14" ht="12.75">
      <c r="A24" s="23" t="s">
        <v>97</v>
      </c>
      <c r="B24" s="158">
        <v>0.02</v>
      </c>
      <c r="C24" s="63">
        <v>0.025</v>
      </c>
      <c r="D24" s="25">
        <f>B6*B24</f>
        <v>19.04</v>
      </c>
      <c r="E24" s="25">
        <f>B7*C24</f>
        <v>123.4</v>
      </c>
      <c r="F24" s="25">
        <f>D24+E24</f>
        <v>142.44</v>
      </c>
      <c r="G24" s="39">
        <v>16.752</v>
      </c>
      <c r="H24" s="39">
        <v>109.771</v>
      </c>
      <c r="I24" s="26">
        <f>G24+H24</f>
        <v>126.523</v>
      </c>
      <c r="J24" s="27">
        <f>IF(D24&gt;0,G24/D24,0)</f>
        <v>0.8798319327731092</v>
      </c>
      <c r="K24" s="27">
        <f>IF(E24&gt;0,H24/E24,0)</f>
        <v>0.8895542949756888</v>
      </c>
      <c r="L24" s="28">
        <f>IF(F24&gt;0,I24/F24,0)</f>
        <v>0.8882547037349059</v>
      </c>
      <c r="M24" s="40">
        <f>13959.9+24104.9</f>
        <v>38064.8</v>
      </c>
      <c r="N24" s="29">
        <f>IF(I24&gt;0,M24/I24,0)</f>
        <v>300.8528093706283</v>
      </c>
    </row>
    <row r="25" spans="1:14" ht="12.75">
      <c r="A25" s="31" t="s">
        <v>8</v>
      </c>
      <c r="B25" s="24">
        <v>0.032</v>
      </c>
      <c r="C25" s="24">
        <v>0.037</v>
      </c>
      <c r="D25" s="25">
        <f>B6*B25</f>
        <v>30.464000000000002</v>
      </c>
      <c r="E25" s="25">
        <f>B7*C25</f>
        <v>182.632</v>
      </c>
      <c r="F25" s="25">
        <f t="shared" si="0"/>
        <v>213.096</v>
      </c>
      <c r="G25" s="39">
        <v>28.136</v>
      </c>
      <c r="H25" s="39">
        <v>167.101</v>
      </c>
      <c r="I25" s="26">
        <f t="shared" si="1"/>
        <v>195.237</v>
      </c>
      <c r="J25" s="27">
        <f t="shared" si="2"/>
        <v>0.9235819327731092</v>
      </c>
      <c r="K25" s="27">
        <f t="shared" si="2"/>
        <v>0.9149601384204301</v>
      </c>
      <c r="L25" s="28">
        <f t="shared" si="2"/>
        <v>0.9161927018808423</v>
      </c>
      <c r="M25" s="40">
        <f>41810.58+23036.89</f>
        <v>64847.47</v>
      </c>
      <c r="N25" s="29">
        <f t="shared" si="3"/>
        <v>332.1474413149147</v>
      </c>
    </row>
    <row r="26" spans="1:14" ht="12.75">
      <c r="A26" s="31" t="s">
        <v>35</v>
      </c>
      <c r="B26" s="24">
        <v>0.018</v>
      </c>
      <c r="C26" s="24">
        <v>0.021</v>
      </c>
      <c r="D26" s="25">
        <f>B6*B26</f>
        <v>17.136</v>
      </c>
      <c r="E26" s="25">
        <f>B7*C26</f>
        <v>103.656</v>
      </c>
      <c r="F26" s="25">
        <f t="shared" si="0"/>
        <v>120.792</v>
      </c>
      <c r="G26" s="39">
        <v>17.642</v>
      </c>
      <c r="H26" s="39">
        <v>101.514</v>
      </c>
      <c r="I26" s="26">
        <f t="shared" si="1"/>
        <v>119.15599999999999</v>
      </c>
      <c r="J26" s="27">
        <f t="shared" si="2"/>
        <v>1.02952847805789</v>
      </c>
      <c r="K26" s="27">
        <f t="shared" si="2"/>
        <v>0.9793354943273905</v>
      </c>
      <c r="L26" s="28">
        <f t="shared" si="2"/>
        <v>0.9864560566924961</v>
      </c>
      <c r="M26" s="40">
        <v>78113.37</v>
      </c>
      <c r="N26" s="29">
        <f t="shared" si="3"/>
        <v>655.5554902816476</v>
      </c>
    </row>
    <row r="27" spans="1:14" ht="12.75">
      <c r="A27" s="31" t="s">
        <v>36</v>
      </c>
      <c r="B27" s="24">
        <v>0.009</v>
      </c>
      <c r="C27" s="24">
        <v>0.011</v>
      </c>
      <c r="D27" s="25">
        <f>B6*B27</f>
        <v>8.568</v>
      </c>
      <c r="E27" s="25">
        <f>B7*C27</f>
        <v>54.296</v>
      </c>
      <c r="F27" s="25">
        <f t="shared" si="0"/>
        <v>62.864</v>
      </c>
      <c r="G27" s="39">
        <v>8.653</v>
      </c>
      <c r="H27" s="39">
        <v>60.951</v>
      </c>
      <c r="I27" s="26">
        <f t="shared" si="1"/>
        <v>69.604</v>
      </c>
      <c r="J27" s="27">
        <f t="shared" si="2"/>
        <v>1.009920634920635</v>
      </c>
      <c r="K27" s="27">
        <f t="shared" si="2"/>
        <v>1.1225688816855754</v>
      </c>
      <c r="L27" s="28">
        <f t="shared" si="2"/>
        <v>1.1072155764825655</v>
      </c>
      <c r="M27" s="40">
        <v>7308.8</v>
      </c>
      <c r="N27" s="29">
        <f t="shared" si="3"/>
        <v>105.00545945635308</v>
      </c>
    </row>
    <row r="28" spans="1:14" ht="12.75">
      <c r="A28" s="32" t="s">
        <v>9</v>
      </c>
      <c r="B28" s="24">
        <v>0.39</v>
      </c>
      <c r="C28" s="24">
        <v>0.45</v>
      </c>
      <c r="D28" s="25">
        <f>B6*B28</f>
        <v>371.28000000000003</v>
      </c>
      <c r="E28" s="25">
        <f>B7*C28</f>
        <v>2221.2000000000003</v>
      </c>
      <c r="F28" s="25">
        <f t="shared" si="0"/>
        <v>2592.4800000000005</v>
      </c>
      <c r="G28" s="39">
        <v>362.894</v>
      </c>
      <c r="H28" s="39">
        <v>2082.925</v>
      </c>
      <c r="I28" s="26">
        <f t="shared" si="1"/>
        <v>2445.8190000000004</v>
      </c>
      <c r="J28" s="27">
        <f t="shared" si="2"/>
        <v>0.9774132730015083</v>
      </c>
      <c r="K28" s="27">
        <f t="shared" si="2"/>
        <v>0.937747613902395</v>
      </c>
      <c r="L28" s="28">
        <f t="shared" si="2"/>
        <v>0.9434283003147566</v>
      </c>
      <c r="M28" s="40">
        <v>154557.3</v>
      </c>
      <c r="N28" s="29">
        <f t="shared" si="3"/>
        <v>63.19245209886748</v>
      </c>
    </row>
    <row r="29" spans="1:14" ht="12.75">
      <c r="A29" s="31" t="s">
        <v>10</v>
      </c>
      <c r="B29" s="24">
        <v>0.03</v>
      </c>
      <c r="C29" s="24">
        <v>0.04</v>
      </c>
      <c r="D29" s="25">
        <f>B6*B29</f>
        <v>28.56</v>
      </c>
      <c r="E29" s="25">
        <f>B7*C29</f>
        <v>197.44</v>
      </c>
      <c r="F29" s="25">
        <f t="shared" si="0"/>
        <v>226</v>
      </c>
      <c r="G29" s="39">
        <v>28.033</v>
      </c>
      <c r="H29" s="39">
        <v>177.458</v>
      </c>
      <c r="I29" s="26">
        <f t="shared" si="1"/>
        <v>205.49099999999999</v>
      </c>
      <c r="J29" s="27">
        <f t="shared" si="2"/>
        <v>0.9815476190476191</v>
      </c>
      <c r="K29" s="27">
        <f t="shared" si="2"/>
        <v>0.8987945705024312</v>
      </c>
      <c r="L29" s="28">
        <f t="shared" si="2"/>
        <v>0.9092522123893805</v>
      </c>
      <c r="M29" s="40">
        <v>68844.6</v>
      </c>
      <c r="N29" s="29">
        <f t="shared" si="3"/>
        <v>335.02489160109207</v>
      </c>
    </row>
    <row r="30" spans="1:14" ht="12.75">
      <c r="A30" s="31" t="s">
        <v>11</v>
      </c>
      <c r="B30" s="24">
        <v>0.009</v>
      </c>
      <c r="C30" s="24">
        <v>0.011</v>
      </c>
      <c r="D30" s="25">
        <f>B6*B30</f>
        <v>8.568</v>
      </c>
      <c r="E30" s="25">
        <f>B7*C30</f>
        <v>54.296</v>
      </c>
      <c r="F30" s="25">
        <f t="shared" si="0"/>
        <v>62.864</v>
      </c>
      <c r="G30" s="39">
        <v>8.04</v>
      </c>
      <c r="H30" s="39">
        <v>50.736</v>
      </c>
      <c r="I30" s="26">
        <f t="shared" si="1"/>
        <v>58.775999999999996</v>
      </c>
      <c r="J30" s="27">
        <f t="shared" si="2"/>
        <v>0.938375350140056</v>
      </c>
      <c r="K30" s="27">
        <f t="shared" si="2"/>
        <v>0.934433475762487</v>
      </c>
      <c r="L30" s="28">
        <f t="shared" si="2"/>
        <v>0.9349707304657674</v>
      </c>
      <c r="M30" s="40">
        <v>10520.9</v>
      </c>
      <c r="N30" s="29">
        <f t="shared" si="3"/>
        <v>178.99993194501158</v>
      </c>
    </row>
    <row r="31" spans="1:14" ht="12.75">
      <c r="A31" s="31" t="s">
        <v>12</v>
      </c>
      <c r="B31" s="24">
        <v>0.004</v>
      </c>
      <c r="C31" s="24">
        <v>0.006</v>
      </c>
      <c r="D31" s="25">
        <f>B6*B31</f>
        <v>3.8080000000000003</v>
      </c>
      <c r="E31" s="25">
        <f>B7*C31</f>
        <v>29.616</v>
      </c>
      <c r="F31" s="25">
        <f t="shared" si="0"/>
        <v>33.424</v>
      </c>
      <c r="G31" s="39">
        <v>4.987</v>
      </c>
      <c r="H31" s="39">
        <v>32.15</v>
      </c>
      <c r="I31" s="26">
        <f t="shared" si="1"/>
        <v>37.137</v>
      </c>
      <c r="J31" s="27">
        <f t="shared" si="2"/>
        <v>1.309611344537815</v>
      </c>
      <c r="K31" s="27">
        <f t="shared" si="2"/>
        <v>1.0855618584548892</v>
      </c>
      <c r="L31" s="28">
        <f t="shared" si="2"/>
        <v>1.1110878410722833</v>
      </c>
      <c r="M31" s="40">
        <v>12480.91</v>
      </c>
      <c r="N31" s="29">
        <f t="shared" si="3"/>
        <v>336.07749683603953</v>
      </c>
    </row>
    <row r="32" spans="1:14" ht="12.75">
      <c r="A32" s="31" t="s">
        <v>13</v>
      </c>
      <c r="B32" s="24">
        <v>1</v>
      </c>
      <c r="C32" s="24">
        <v>1</v>
      </c>
      <c r="D32" s="25">
        <f>B6*B32</f>
        <v>952</v>
      </c>
      <c r="E32" s="25">
        <f>B7*C32</f>
        <v>4936</v>
      </c>
      <c r="F32" s="25">
        <f t="shared" si="0"/>
        <v>5888</v>
      </c>
      <c r="G32" s="39">
        <v>842.8</v>
      </c>
      <c r="H32" s="39">
        <v>4414.8</v>
      </c>
      <c r="I32" s="26">
        <f t="shared" si="1"/>
        <v>5257.6</v>
      </c>
      <c r="J32" s="27">
        <f t="shared" si="2"/>
        <v>0.8852941176470588</v>
      </c>
      <c r="K32" s="27">
        <f t="shared" si="2"/>
        <v>0.8944084278768234</v>
      </c>
      <c r="L32" s="28">
        <f t="shared" si="2"/>
        <v>0.8929347826086957</v>
      </c>
      <c r="M32" s="40">
        <v>39428.36</v>
      </c>
      <c r="N32" s="29">
        <f t="shared" si="3"/>
        <v>7.499307668898356</v>
      </c>
    </row>
    <row r="33" spans="1:14" ht="12.75">
      <c r="A33" s="31" t="s">
        <v>14</v>
      </c>
      <c r="B33" s="24">
        <v>0.025</v>
      </c>
      <c r="C33" s="24">
        <v>0.029</v>
      </c>
      <c r="D33" s="25">
        <f>B6*B33</f>
        <v>23.8</v>
      </c>
      <c r="E33" s="25">
        <f>B7*C33</f>
        <v>143.144</v>
      </c>
      <c r="F33" s="25">
        <f t="shared" si="0"/>
        <v>166.94400000000002</v>
      </c>
      <c r="G33" s="39">
        <v>21.988</v>
      </c>
      <c r="H33" s="39">
        <v>133.739</v>
      </c>
      <c r="I33" s="26">
        <f t="shared" si="1"/>
        <v>155.727</v>
      </c>
      <c r="J33" s="27">
        <f t="shared" si="2"/>
        <v>0.9238655462184874</v>
      </c>
      <c r="K33" s="27">
        <f t="shared" si="2"/>
        <v>0.9342969317610239</v>
      </c>
      <c r="L33" s="28">
        <f t="shared" si="2"/>
        <v>0.9328098044853363</v>
      </c>
      <c r="M33" s="40">
        <v>3737.97</v>
      </c>
      <c r="N33" s="29">
        <f t="shared" si="3"/>
        <v>24.003352019880943</v>
      </c>
    </row>
    <row r="34" spans="1:14" ht="12.75">
      <c r="A34" s="31" t="s">
        <v>15</v>
      </c>
      <c r="B34" s="24">
        <v>0.03</v>
      </c>
      <c r="C34" s="24">
        <v>0.043</v>
      </c>
      <c r="D34" s="25">
        <f>B6*B34</f>
        <v>28.56</v>
      </c>
      <c r="E34" s="25">
        <f>B7*C34</f>
        <v>212.248</v>
      </c>
      <c r="F34" s="25">
        <f t="shared" si="0"/>
        <v>240.808</v>
      </c>
      <c r="G34" s="39">
        <v>33.083</v>
      </c>
      <c r="H34" s="39">
        <v>216.293</v>
      </c>
      <c r="I34" s="26">
        <f t="shared" si="1"/>
        <v>249.376</v>
      </c>
      <c r="J34" s="27">
        <f t="shared" si="2"/>
        <v>1.1583683473389357</v>
      </c>
      <c r="K34" s="27">
        <f t="shared" si="2"/>
        <v>1.0190578945384645</v>
      </c>
      <c r="L34" s="28">
        <f t="shared" si="2"/>
        <v>1.0355802132819507</v>
      </c>
      <c r="M34" s="40">
        <v>13514.21</v>
      </c>
      <c r="N34" s="29">
        <f t="shared" si="3"/>
        <v>54.192103490311816</v>
      </c>
    </row>
    <row r="35" spans="1:14" ht="12.75">
      <c r="A35" s="31" t="s">
        <v>16</v>
      </c>
      <c r="B35" s="24">
        <v>0.008</v>
      </c>
      <c r="C35" s="24">
        <v>0.012</v>
      </c>
      <c r="D35" s="25">
        <f>B6*B35</f>
        <v>7.6160000000000005</v>
      </c>
      <c r="E35" s="25">
        <f>B7*C35</f>
        <v>59.232</v>
      </c>
      <c r="F35" s="25">
        <f t="shared" si="0"/>
        <v>66.848</v>
      </c>
      <c r="G35" s="39">
        <v>6.697</v>
      </c>
      <c r="H35" s="39">
        <v>43.774</v>
      </c>
      <c r="I35" s="26">
        <f t="shared" si="1"/>
        <v>50.471000000000004</v>
      </c>
      <c r="J35" s="27">
        <f t="shared" si="2"/>
        <v>0.8793329831932772</v>
      </c>
      <c r="K35" s="27">
        <f t="shared" si="2"/>
        <v>0.7390262020529443</v>
      </c>
      <c r="L35" s="28">
        <f t="shared" si="2"/>
        <v>0.755011369076113</v>
      </c>
      <c r="M35" s="40">
        <v>1968.34</v>
      </c>
      <c r="N35" s="29">
        <f t="shared" si="3"/>
        <v>38.99942541261318</v>
      </c>
    </row>
    <row r="36" spans="1:14" ht="12.75">
      <c r="A36" s="31" t="s">
        <v>17</v>
      </c>
      <c r="B36" s="24">
        <v>0.025</v>
      </c>
      <c r="C36" s="24">
        <v>0.03</v>
      </c>
      <c r="D36" s="25">
        <f>B6*B36</f>
        <v>23.8</v>
      </c>
      <c r="E36" s="25">
        <f>B7*C36</f>
        <v>148.07999999999998</v>
      </c>
      <c r="F36" s="25">
        <f t="shared" si="0"/>
        <v>171.88</v>
      </c>
      <c r="G36" s="39">
        <v>22.738</v>
      </c>
      <c r="H36" s="39">
        <v>147.354</v>
      </c>
      <c r="I36" s="26">
        <f t="shared" si="1"/>
        <v>170.092</v>
      </c>
      <c r="J36" s="27">
        <f t="shared" si="2"/>
        <v>0.9553781512605042</v>
      </c>
      <c r="K36" s="27">
        <f t="shared" si="2"/>
        <v>0.9950972447325772</v>
      </c>
      <c r="L36" s="28">
        <f t="shared" si="2"/>
        <v>0.9895973935303701</v>
      </c>
      <c r="M36" s="40">
        <v>12756.9</v>
      </c>
      <c r="N36" s="29">
        <f t="shared" si="3"/>
        <v>74.99999999999999</v>
      </c>
    </row>
    <row r="37" spans="1:14" ht="12.75">
      <c r="A37" s="31" t="s">
        <v>18</v>
      </c>
      <c r="B37" s="24">
        <v>0.012</v>
      </c>
      <c r="C37" s="24">
        <v>0.02</v>
      </c>
      <c r="D37" s="25">
        <f>B6*B37</f>
        <v>11.424</v>
      </c>
      <c r="E37" s="25">
        <f>B7*C37</f>
        <v>98.72</v>
      </c>
      <c r="F37" s="25">
        <f t="shared" si="0"/>
        <v>110.144</v>
      </c>
      <c r="G37" s="39">
        <v>6.846</v>
      </c>
      <c r="H37" s="39">
        <v>42.295</v>
      </c>
      <c r="I37" s="26">
        <f t="shared" si="1"/>
        <v>49.141000000000005</v>
      </c>
      <c r="J37" s="27">
        <f t="shared" si="2"/>
        <v>0.5992647058823529</v>
      </c>
      <c r="K37" s="27">
        <f t="shared" si="2"/>
        <v>0.4284339546191248</v>
      </c>
      <c r="L37" s="28">
        <f t="shared" si="2"/>
        <v>0.4461523097036607</v>
      </c>
      <c r="M37" s="40">
        <f>3242.44+2387.8</f>
        <v>5630.24</v>
      </c>
      <c r="N37" s="29">
        <f t="shared" si="3"/>
        <v>114.57316700921835</v>
      </c>
    </row>
    <row r="38" spans="1:14" ht="12.75">
      <c r="A38" s="31" t="s">
        <v>19</v>
      </c>
      <c r="B38" s="24">
        <v>0.009</v>
      </c>
      <c r="C38" s="24">
        <v>0.011</v>
      </c>
      <c r="D38" s="25">
        <f>B6*B38</f>
        <v>8.568</v>
      </c>
      <c r="E38" s="25">
        <f>B7*C38</f>
        <v>54.296</v>
      </c>
      <c r="F38" s="25">
        <f t="shared" si="0"/>
        <v>62.864</v>
      </c>
      <c r="G38" s="39">
        <v>8.712</v>
      </c>
      <c r="H38" s="39">
        <v>56.142</v>
      </c>
      <c r="I38" s="26">
        <f t="shared" si="1"/>
        <v>64.854</v>
      </c>
      <c r="J38" s="27">
        <f t="shared" si="2"/>
        <v>1.0168067226890756</v>
      </c>
      <c r="K38" s="27">
        <f t="shared" si="2"/>
        <v>1.0339988212759688</v>
      </c>
      <c r="L38" s="28">
        <f t="shared" si="2"/>
        <v>1.031655637566811</v>
      </c>
      <c r="M38" s="40">
        <f>3118.14+5324.13</f>
        <v>8442.27</v>
      </c>
      <c r="N38" s="29">
        <f t="shared" si="3"/>
        <v>130.17346655564808</v>
      </c>
    </row>
    <row r="39" spans="1:14" ht="12.75">
      <c r="A39" s="31" t="s">
        <v>20</v>
      </c>
      <c r="B39" s="24">
        <v>0.095</v>
      </c>
      <c r="C39" s="24">
        <v>0.1</v>
      </c>
      <c r="D39" s="25">
        <f>B6*B39</f>
        <v>90.44</v>
      </c>
      <c r="E39" s="25">
        <f>B7*C39</f>
        <v>493.6</v>
      </c>
      <c r="F39" s="25">
        <f t="shared" si="0"/>
        <v>584.04</v>
      </c>
      <c r="G39" s="39">
        <v>92.193</v>
      </c>
      <c r="H39" s="39">
        <v>492.377</v>
      </c>
      <c r="I39" s="26">
        <f t="shared" si="1"/>
        <v>584.57</v>
      </c>
      <c r="J39" s="27">
        <f t="shared" si="2"/>
        <v>1.0193830163644406</v>
      </c>
      <c r="K39" s="27">
        <f t="shared" si="2"/>
        <v>0.9975222852512156</v>
      </c>
      <c r="L39" s="28">
        <f t="shared" si="2"/>
        <v>1.0009074720909528</v>
      </c>
      <c r="M39" s="40">
        <f>3249.62+2874.27+45218.87</f>
        <v>51342.76</v>
      </c>
      <c r="N39" s="29">
        <f t="shared" si="3"/>
        <v>87.8299604837744</v>
      </c>
    </row>
    <row r="40" spans="1:14" ht="12.75">
      <c r="A40" s="31" t="s">
        <v>21</v>
      </c>
      <c r="B40" s="24">
        <v>0.1</v>
      </c>
      <c r="C40" s="24">
        <v>0.1</v>
      </c>
      <c r="D40" s="25">
        <f>B6*B40</f>
        <v>95.2</v>
      </c>
      <c r="E40" s="25">
        <f>B7*C40</f>
        <v>493.6</v>
      </c>
      <c r="F40" s="25">
        <f t="shared" si="0"/>
        <v>588.8000000000001</v>
      </c>
      <c r="G40" s="39">
        <v>83.2</v>
      </c>
      <c r="H40" s="39">
        <v>487.6</v>
      </c>
      <c r="I40" s="26">
        <f t="shared" si="1"/>
        <v>570.8000000000001</v>
      </c>
      <c r="J40" s="27">
        <f t="shared" si="2"/>
        <v>0.8739495798319328</v>
      </c>
      <c r="K40" s="27">
        <f t="shared" si="2"/>
        <v>0.9878444084278768</v>
      </c>
      <c r="L40" s="28">
        <f t="shared" si="2"/>
        <v>0.9694293478260869</v>
      </c>
      <c r="M40" s="40">
        <f>21304.42+8038.77</f>
        <v>29343.19</v>
      </c>
      <c r="N40" s="29">
        <f t="shared" si="3"/>
        <v>51.40713034337771</v>
      </c>
    </row>
    <row r="41" spans="1:14" ht="12.75">
      <c r="A41" s="31" t="s">
        <v>22</v>
      </c>
      <c r="B41" s="63">
        <v>0.12</v>
      </c>
      <c r="C41" s="63">
        <v>0.14</v>
      </c>
      <c r="D41" s="25">
        <f>B6*B41</f>
        <v>114.24</v>
      </c>
      <c r="E41" s="25">
        <f>B7*C41</f>
        <v>691.0400000000001</v>
      </c>
      <c r="F41" s="25">
        <f t="shared" si="0"/>
        <v>805.2800000000001</v>
      </c>
      <c r="G41" s="39">
        <v>102.378</v>
      </c>
      <c r="H41" s="39">
        <v>645.882</v>
      </c>
      <c r="I41" s="26">
        <f t="shared" si="1"/>
        <v>748.26</v>
      </c>
      <c r="J41" s="27">
        <f t="shared" si="2"/>
        <v>0.8961659663865547</v>
      </c>
      <c r="K41" s="27">
        <f t="shared" si="2"/>
        <v>0.9346521185459595</v>
      </c>
      <c r="L41" s="28">
        <f t="shared" si="2"/>
        <v>0.9291923306179216</v>
      </c>
      <c r="M41" s="40">
        <v>19240.96</v>
      </c>
      <c r="N41" s="29">
        <f t="shared" si="3"/>
        <v>25.714270440755886</v>
      </c>
    </row>
    <row r="42" spans="1:14" ht="12.75">
      <c r="A42" s="31" t="s">
        <v>23</v>
      </c>
      <c r="B42" s="24">
        <v>0.18</v>
      </c>
      <c r="C42" s="24">
        <v>0.22</v>
      </c>
      <c r="D42" s="25">
        <f>B6*B42</f>
        <v>171.35999999999999</v>
      </c>
      <c r="E42" s="25">
        <f>B7*C42</f>
        <v>1085.92</v>
      </c>
      <c r="F42" s="25">
        <f t="shared" si="0"/>
        <v>1257.28</v>
      </c>
      <c r="G42" s="39">
        <v>158.16</v>
      </c>
      <c r="H42" s="39">
        <v>1038.121</v>
      </c>
      <c r="I42" s="26">
        <f t="shared" si="1"/>
        <v>1196.2810000000002</v>
      </c>
      <c r="J42" s="27">
        <f t="shared" si="2"/>
        <v>0.9229691876750701</v>
      </c>
      <c r="K42" s="27">
        <f t="shared" si="2"/>
        <v>0.955982945336673</v>
      </c>
      <c r="L42" s="28">
        <f t="shared" si="2"/>
        <v>0.9514833609060831</v>
      </c>
      <c r="M42" s="40">
        <f>3744.98+3034.38+10371.77+6097.03+7863.88+3110.51+447.64+3538.1+2349.46+4659.28</f>
        <v>45217.03</v>
      </c>
      <c r="N42" s="29">
        <f t="shared" si="3"/>
        <v>37.79800063697408</v>
      </c>
    </row>
    <row r="43" spans="1:14" ht="12.75">
      <c r="A43" s="31" t="s">
        <v>24</v>
      </c>
      <c r="B43" s="24">
        <v>0.04</v>
      </c>
      <c r="C43" s="24">
        <v>0.05</v>
      </c>
      <c r="D43" s="25">
        <f>B6*B43</f>
        <v>38.08</v>
      </c>
      <c r="E43" s="25">
        <f>B7*C43</f>
        <v>246.8</v>
      </c>
      <c r="F43" s="25">
        <f t="shared" si="0"/>
        <v>284.88</v>
      </c>
      <c r="G43" s="39">
        <v>38.391</v>
      </c>
      <c r="H43" s="39">
        <v>225.169</v>
      </c>
      <c r="I43" s="26">
        <f t="shared" si="1"/>
        <v>263.56</v>
      </c>
      <c r="J43" s="27">
        <f t="shared" si="2"/>
        <v>1.0081670168067227</v>
      </c>
      <c r="K43" s="27">
        <f t="shared" si="2"/>
        <v>0.9123541329011345</v>
      </c>
      <c r="L43" s="28">
        <f t="shared" si="2"/>
        <v>0.9251614714967706</v>
      </c>
      <c r="M43" s="40">
        <v>13178</v>
      </c>
      <c r="N43" s="29">
        <f t="shared" si="3"/>
        <v>50</v>
      </c>
    </row>
    <row r="44" spans="1:14" ht="12.75">
      <c r="A44" s="32" t="s">
        <v>25</v>
      </c>
      <c r="B44" s="64">
        <v>0.06</v>
      </c>
      <c r="C44" s="64">
        <v>0.08</v>
      </c>
      <c r="D44" s="25">
        <f>B6*B44</f>
        <v>57.12</v>
      </c>
      <c r="E44" s="25">
        <f>B7*C44</f>
        <v>394.88</v>
      </c>
      <c r="F44" s="25">
        <f>D44+E44</f>
        <v>452</v>
      </c>
      <c r="G44" s="39">
        <v>51.007</v>
      </c>
      <c r="H44" s="39">
        <v>324.119</v>
      </c>
      <c r="I44" s="26">
        <f>G44+H44</f>
        <v>375.12600000000003</v>
      </c>
      <c r="J44" s="27">
        <f t="shared" si="2"/>
        <v>0.8929796918767507</v>
      </c>
      <c r="K44" s="27">
        <f t="shared" si="2"/>
        <v>0.8208037884927067</v>
      </c>
      <c r="L44" s="28">
        <f t="shared" si="2"/>
        <v>0.829924778761062</v>
      </c>
      <c r="M44" s="40">
        <f>13996.8+10008.3</f>
        <v>24005.1</v>
      </c>
      <c r="N44" s="29">
        <f>IF(I44&gt;0,M44/I44,0)</f>
        <v>63.99209865485196</v>
      </c>
    </row>
    <row r="45" spans="1:14" s="20" customFormat="1" ht="12.75">
      <c r="A45" s="44" t="s">
        <v>54</v>
      </c>
      <c r="B45" s="45"/>
      <c r="C45" s="45"/>
      <c r="D45" s="46">
        <f>SUM(D22:D44)</f>
        <v>2176.2719999999995</v>
      </c>
      <c r="E45" s="46">
        <f>SUM(E22:E44)</f>
        <v>12414.039999999999</v>
      </c>
      <c r="F45" s="46">
        <f>D45+E45</f>
        <v>14590.311999999998</v>
      </c>
      <c r="G45" s="56">
        <f>SUM(G22:G44)</f>
        <v>2002.604</v>
      </c>
      <c r="H45" s="56">
        <f>SUM(H22:H44)</f>
        <v>11428.597000000002</v>
      </c>
      <c r="I45" s="47">
        <f>G45+H45</f>
        <v>13431.201000000001</v>
      </c>
      <c r="J45" s="59">
        <f>IF(G45&gt;0,G45/D45,0)</f>
        <v>0.9201993133211293</v>
      </c>
      <c r="K45" s="59">
        <f>IF(E45&gt;0,H45/E45,0)</f>
        <v>0.9206186704731096</v>
      </c>
      <c r="L45" s="59">
        <f>IF(F45&gt;0,I45/F45,0)</f>
        <v>0.920556119704637</v>
      </c>
      <c r="M45" s="57">
        <f>SUM(SUM(M22:M44))</f>
        <v>886964.0199999999</v>
      </c>
      <c r="N45" s="60"/>
    </row>
    <row r="46" ht="13.5" thickBot="1"/>
    <row r="47" spans="1:14" s="37" customFormat="1" ht="21" customHeight="1" thickBot="1">
      <c r="A47" s="33" t="s">
        <v>48</v>
      </c>
      <c r="B47" s="34">
        <f>SUM(B22:B24)</f>
        <v>0.09000000000000001</v>
      </c>
      <c r="C47" s="34">
        <f>SUM(C22:C24)</f>
        <v>0.10400000000000001</v>
      </c>
      <c r="D47" s="35">
        <f aca="true" t="shared" si="4" ref="D47:I47">SUM(D22:D24)</f>
        <v>85.68</v>
      </c>
      <c r="E47" s="35">
        <f t="shared" si="4"/>
        <v>513.344</v>
      </c>
      <c r="F47" s="35">
        <f t="shared" si="4"/>
        <v>599.0240000000001</v>
      </c>
      <c r="G47" s="35">
        <f t="shared" si="4"/>
        <v>76.026</v>
      </c>
      <c r="H47" s="35">
        <f t="shared" si="4"/>
        <v>488.09700000000004</v>
      </c>
      <c r="I47" s="35">
        <f t="shared" si="4"/>
        <v>564.123</v>
      </c>
      <c r="J47" s="61">
        <f>IF(G47=0,0,G47/D47)</f>
        <v>0.8873249299719886</v>
      </c>
      <c r="K47" s="61">
        <f>IF(H47=0,0,H47/E47)</f>
        <v>0.9508185544196484</v>
      </c>
      <c r="L47" s="61">
        <f>IF(I47&gt;0,I47/F47,0)</f>
        <v>0.9417368920110044</v>
      </c>
      <c r="M47" s="58">
        <f>SUM(M22:M24)</f>
        <v>222485.34000000003</v>
      </c>
      <c r="N47" s="36">
        <f>IF(M47=0,0,M47/I47)</f>
        <v>394.3915422700369</v>
      </c>
    </row>
  </sheetData>
  <sheetProtection password="CC53" sheet="1" formatCells="0" formatColumns="0" formatRows="0" insertColumns="0" insertRows="0" insertHyperlinks="0" deleteColumns="0" deleteRows="0" sort="0" autoFilter="0" pivotTables="0"/>
  <mergeCells count="19">
    <mergeCell ref="M20:M21"/>
    <mergeCell ref="E2:G2"/>
    <mergeCell ref="A15:B15"/>
    <mergeCell ref="L15:M15"/>
    <mergeCell ref="C8:C10"/>
    <mergeCell ref="D8:F10"/>
    <mergeCell ref="A11:B11"/>
    <mergeCell ref="L13:N13"/>
    <mergeCell ref="L14:M14"/>
    <mergeCell ref="A1:G1"/>
    <mergeCell ref="L16:M16"/>
    <mergeCell ref="L17:M17"/>
    <mergeCell ref="A19:N19"/>
    <mergeCell ref="A20:A21"/>
    <mergeCell ref="B20:C20"/>
    <mergeCell ref="D20:F20"/>
    <mergeCell ref="G20:I20"/>
    <mergeCell ref="N20:N21"/>
    <mergeCell ref="J20:L20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B8" sqref="B8"/>
    </sheetView>
  </sheetViews>
  <sheetFormatPr defaultColWidth="9.125" defaultRowHeight="12.75"/>
  <cols>
    <col min="1" max="1" width="32.625" style="2" customWidth="1"/>
    <col min="2" max="2" width="14.50390625" style="2" customWidth="1"/>
    <col min="3" max="3" width="12.125" style="2" customWidth="1"/>
    <col min="4" max="12" width="11.375" style="2" customWidth="1"/>
    <col min="13" max="13" width="12.50390625" style="2" customWidth="1"/>
    <col min="14" max="14" width="11.375" style="2" customWidth="1"/>
    <col min="15" max="15" width="10.50390625" style="2" customWidth="1"/>
    <col min="16" max="16384" width="9.125" style="2" customWidth="1"/>
  </cols>
  <sheetData>
    <row r="1" spans="1:14" ht="24" customHeight="1">
      <c r="A1" s="171" t="s">
        <v>88</v>
      </c>
      <c r="B1" s="171"/>
      <c r="C1" s="171"/>
      <c r="D1" s="171"/>
      <c r="E1" s="171"/>
      <c r="F1" s="171"/>
      <c r="G1" s="171"/>
      <c r="H1" s="119">
        <f>янв!H1</f>
        <v>2023</v>
      </c>
      <c r="I1" s="1" t="s">
        <v>75</v>
      </c>
      <c r="J1" s="1"/>
      <c r="K1" s="1"/>
      <c r="L1" s="1"/>
      <c r="M1" s="1"/>
      <c r="N1" s="1"/>
    </row>
    <row r="2" spans="1:7" ht="12.75">
      <c r="A2" s="3" t="s">
        <v>26</v>
      </c>
      <c r="B2" s="52"/>
      <c r="E2" s="183" t="s">
        <v>55</v>
      </c>
      <c r="F2" s="183"/>
      <c r="G2" s="183"/>
    </row>
    <row r="3" spans="1:2" ht="12.75">
      <c r="A3" s="3" t="s">
        <v>0</v>
      </c>
      <c r="B3" s="52"/>
    </row>
    <row r="4" spans="1:2" ht="12.75">
      <c r="A4" s="4" t="s">
        <v>30</v>
      </c>
      <c r="B4" s="53">
        <f>янв!B4</f>
        <v>448</v>
      </c>
    </row>
    <row r="5" spans="1:2" ht="12.75">
      <c r="A5" s="5" t="s">
        <v>28</v>
      </c>
      <c r="B5" s="140">
        <f>B6+B7</f>
        <v>16402</v>
      </c>
    </row>
    <row r="6" spans="1:2" ht="12.75">
      <c r="A6" s="6" t="s">
        <v>27</v>
      </c>
      <c r="B6" s="141">
        <f>янв!B6+фев!B6+март!B6</f>
        <v>4070</v>
      </c>
    </row>
    <row r="7" spans="1:2" ht="13.5" thickBot="1">
      <c r="A7" s="7" t="s">
        <v>29</v>
      </c>
      <c r="B7" s="141">
        <f>янв!B7+фев!B7+март!B7</f>
        <v>12332</v>
      </c>
    </row>
    <row r="8" spans="1:6" ht="12.75">
      <c r="A8" s="8" t="s">
        <v>31</v>
      </c>
      <c r="B8" s="128">
        <f>янв!B8+фев!B8+март!B8</f>
        <v>2144025.39</v>
      </c>
      <c r="C8" s="184"/>
      <c r="D8" s="187"/>
      <c r="E8" s="183"/>
      <c r="F8" s="183"/>
    </row>
    <row r="9" spans="1:6" ht="12.75">
      <c r="A9" s="9" t="s">
        <v>32</v>
      </c>
      <c r="B9" s="133">
        <f>M45</f>
        <v>2129487.6100000003</v>
      </c>
      <c r="C9" s="184"/>
      <c r="D9" s="187"/>
      <c r="E9" s="183"/>
      <c r="F9" s="183"/>
    </row>
    <row r="10" spans="1:6" ht="13.5" thickBot="1">
      <c r="A10" s="11" t="s">
        <v>33</v>
      </c>
      <c r="B10" s="134">
        <f>B8-B9</f>
        <v>14537.779999999795</v>
      </c>
      <c r="C10" s="184"/>
      <c r="D10" s="187"/>
      <c r="E10" s="183"/>
      <c r="F10" s="183"/>
    </row>
    <row r="11" spans="1:3" ht="12.75">
      <c r="A11" s="185" t="s">
        <v>40</v>
      </c>
      <c r="B11" s="185"/>
      <c r="C11" s="12"/>
    </row>
    <row r="12" spans="1:3" ht="12.75">
      <c r="A12" s="3" t="s">
        <v>34</v>
      </c>
      <c r="B12" s="13">
        <v>131</v>
      </c>
      <c r="C12" s="12"/>
    </row>
    <row r="13" spans="1:14" ht="12.75" customHeight="1">
      <c r="A13" s="3" t="s">
        <v>2</v>
      </c>
      <c r="B13" s="131">
        <f>IF(M45&gt;0,B8/B5,0)</f>
        <v>130.7173143519083</v>
      </c>
      <c r="C13" s="12"/>
      <c r="L13" s="176" t="s">
        <v>49</v>
      </c>
      <c r="M13" s="176"/>
      <c r="N13" s="176"/>
    </row>
    <row r="14" spans="1:14" ht="12.75">
      <c r="A14" s="14" t="s">
        <v>3</v>
      </c>
      <c r="B14" s="15">
        <f>B13/B12</f>
        <v>0.9978420942893763</v>
      </c>
      <c r="E14" s="42"/>
      <c r="L14" s="177" t="s">
        <v>50</v>
      </c>
      <c r="M14" s="177"/>
      <c r="N14" s="41">
        <v>2</v>
      </c>
    </row>
    <row r="15" spans="1:14" ht="12.75">
      <c r="A15" s="182" t="s">
        <v>41</v>
      </c>
      <c r="B15" s="182"/>
      <c r="C15" s="12"/>
      <c r="E15" s="43"/>
      <c r="L15" s="177" t="s">
        <v>53</v>
      </c>
      <c r="M15" s="177"/>
      <c r="N15" s="41">
        <v>1.25</v>
      </c>
    </row>
    <row r="16" spans="1:14" ht="12.75">
      <c r="A16" s="3" t="s">
        <v>42</v>
      </c>
      <c r="B16" s="16">
        <f>J45</f>
        <v>0.9007256003318994</v>
      </c>
      <c r="C16" s="12"/>
      <c r="L16" s="177" t="s">
        <v>52</v>
      </c>
      <c r="M16" s="177"/>
      <c r="N16" s="41">
        <v>2.63</v>
      </c>
    </row>
    <row r="17" spans="1:14" ht="13.5" thickBot="1">
      <c r="A17" s="3" t="s">
        <v>43</v>
      </c>
      <c r="B17" s="17">
        <f>K45</f>
        <v>0.9230072371479845</v>
      </c>
      <c r="C17" s="12"/>
      <c r="L17" s="177" t="s">
        <v>51</v>
      </c>
      <c r="M17" s="177"/>
      <c r="N17" s="41">
        <v>8.33</v>
      </c>
    </row>
    <row r="18" spans="1:3" ht="18" thickBot="1">
      <c r="A18" s="18" t="s">
        <v>44</v>
      </c>
      <c r="B18" s="19">
        <f>L45</f>
        <v>0.9178655224583943</v>
      </c>
      <c r="C18" s="12"/>
    </row>
    <row r="19" spans="1:14" ht="18.75" customHeight="1">
      <c r="A19" s="174" t="s">
        <v>1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</row>
    <row r="20" spans="1:14" s="20" customFormat="1" ht="39" customHeight="1">
      <c r="A20" s="186"/>
      <c r="B20" s="179" t="s">
        <v>37</v>
      </c>
      <c r="C20" s="179"/>
      <c r="D20" s="178" t="s">
        <v>38</v>
      </c>
      <c r="E20" s="178"/>
      <c r="F20" s="179"/>
      <c r="G20" s="178" t="s">
        <v>39</v>
      </c>
      <c r="H20" s="179"/>
      <c r="I20" s="179"/>
      <c r="J20" s="180" t="s">
        <v>4</v>
      </c>
      <c r="K20" s="181"/>
      <c r="L20" s="181"/>
      <c r="M20" s="172" t="s">
        <v>46</v>
      </c>
      <c r="N20" s="172" t="s">
        <v>47</v>
      </c>
    </row>
    <row r="21" spans="1:14" s="20" customFormat="1" ht="12.75">
      <c r="A21" s="186"/>
      <c r="B21" s="48" t="s">
        <v>27</v>
      </c>
      <c r="C21" s="48" t="s">
        <v>29</v>
      </c>
      <c r="D21" s="21" t="s">
        <v>27</v>
      </c>
      <c r="E21" s="21" t="s">
        <v>29</v>
      </c>
      <c r="F21" s="21" t="s">
        <v>5</v>
      </c>
      <c r="G21" s="21" t="s">
        <v>27</v>
      </c>
      <c r="H21" s="21" t="s">
        <v>29</v>
      </c>
      <c r="I21" s="21" t="s">
        <v>5</v>
      </c>
      <c r="J21" s="21" t="s">
        <v>27</v>
      </c>
      <c r="K21" s="21" t="s">
        <v>29</v>
      </c>
      <c r="L21" s="22" t="s">
        <v>45</v>
      </c>
      <c r="M21" s="173"/>
      <c r="N21" s="173"/>
    </row>
    <row r="22" spans="1:14" ht="12.75">
      <c r="A22" s="23" t="s">
        <v>6</v>
      </c>
      <c r="B22" s="30"/>
      <c r="C22" s="30"/>
      <c r="D22" s="25">
        <f>янв!D22+фев!D22+март!D22</f>
        <v>203.5</v>
      </c>
      <c r="E22" s="25">
        <f>янв!E22+фев!E22+март!E22</f>
        <v>678.26</v>
      </c>
      <c r="F22" s="25">
        <f>D22+E22</f>
        <v>881.76</v>
      </c>
      <c r="G22" s="54">
        <f>янв!G22+фев!G22+март!G22</f>
        <v>172.001</v>
      </c>
      <c r="H22" s="54">
        <f>янв!H22+фев!H22+март!H22</f>
        <v>669.233</v>
      </c>
      <c r="I22" s="26">
        <f>G22+H22</f>
        <v>841.2339999999999</v>
      </c>
      <c r="J22" s="27">
        <f>IF(D22&gt;0,G22/D22,0)</f>
        <v>0.8452137592137592</v>
      </c>
      <c r="K22" s="27">
        <f>IF(E22&gt;0,H22/E22,0)</f>
        <v>0.9866909444755698</v>
      </c>
      <c r="L22" s="28">
        <f>IF(I22&gt;0,I22/F22,0)</f>
        <v>0.9540396479767737</v>
      </c>
      <c r="M22" s="55">
        <f>янв!M22+фев!M22+март!M22</f>
        <v>264692.55</v>
      </c>
      <c r="N22" s="29">
        <f>IF(I22&gt;0,M22/I22,0)</f>
        <v>314.6479457558777</v>
      </c>
    </row>
    <row r="23" spans="1:14" ht="12.75">
      <c r="A23" s="23" t="s">
        <v>7</v>
      </c>
      <c r="B23" s="30"/>
      <c r="C23" s="30"/>
      <c r="D23" s="25">
        <f>янв!D23+фев!D23+март!D23</f>
        <v>81.4</v>
      </c>
      <c r="E23" s="25">
        <f>янв!E23+фев!E23+март!E23</f>
        <v>295.96799999999996</v>
      </c>
      <c r="F23" s="25">
        <f aca="true" t="shared" si="0" ref="F23:F43">D23+E23</f>
        <v>377.36799999999994</v>
      </c>
      <c r="G23" s="54">
        <f>янв!G23+фев!G23+март!G23</f>
        <v>83.76400000000001</v>
      </c>
      <c r="H23" s="54">
        <f>янв!H23+фев!H23+март!H23</f>
        <v>287.887</v>
      </c>
      <c r="I23" s="26">
        <f aca="true" t="shared" si="1" ref="I23:I43">G23+H23</f>
        <v>371.651</v>
      </c>
      <c r="J23" s="27">
        <f>IF(D23&gt;0,G23/D23,0)</f>
        <v>1.029041769041769</v>
      </c>
      <c r="K23" s="27">
        <f aca="true" t="shared" si="2" ref="J23:L44">IF(E23&gt;0,H23/E23,0)</f>
        <v>0.9726963725808196</v>
      </c>
      <c r="L23" s="28">
        <f t="shared" si="2"/>
        <v>0.9848503317716395</v>
      </c>
      <c r="M23" s="55">
        <f>янв!M23+фев!M23+март!M23</f>
        <v>97417.32</v>
      </c>
      <c r="N23" s="29">
        <f aca="true" t="shared" si="3" ref="N23:N43">IF(I23&gt;0,M23/I23,0)</f>
        <v>262.1204301885371</v>
      </c>
    </row>
    <row r="24" spans="1:14" ht="12.75">
      <c r="A24" s="23" t="s">
        <v>97</v>
      </c>
      <c r="B24" s="30"/>
      <c r="C24" s="30"/>
      <c r="D24" s="25">
        <f>янв!D24+фев!D24+март!D24</f>
        <v>81.4</v>
      </c>
      <c r="E24" s="25">
        <f>янв!E24+фев!E24+март!E24</f>
        <v>308.3</v>
      </c>
      <c r="F24" s="25">
        <f>D24+E24</f>
        <v>389.70000000000005</v>
      </c>
      <c r="G24" s="54">
        <f>янв!G24+фев!G24+март!G24</f>
        <v>65.101</v>
      </c>
      <c r="H24" s="54">
        <f>янв!H24+фев!H24+март!H24</f>
        <v>244.69299999999998</v>
      </c>
      <c r="I24" s="26">
        <f>G24+H24</f>
        <v>309.794</v>
      </c>
      <c r="J24" s="27">
        <f>IF(D24&gt;0,G24/D24,0)</f>
        <v>0.7997665847665847</v>
      </c>
      <c r="K24" s="27">
        <f>IF(E24&gt;0,H24/E24,0)</f>
        <v>0.7936847226727213</v>
      </c>
      <c r="L24" s="28">
        <f>IF(F24&gt;0,I24/F24,0)</f>
        <v>0.794955093661791</v>
      </c>
      <c r="M24" s="55">
        <f>янв!M24+фев!M24+март!M24</f>
        <v>88535.03</v>
      </c>
      <c r="N24" s="29">
        <f>IF(I24&gt;0,M24/I24,0)</f>
        <v>285.7867808931096</v>
      </c>
    </row>
    <row r="25" spans="1:14" ht="12.75">
      <c r="A25" s="31" t="s">
        <v>8</v>
      </c>
      <c r="B25" s="30"/>
      <c r="C25" s="30"/>
      <c r="D25" s="25">
        <f>янв!D25+фев!D25+март!D25</f>
        <v>130.24</v>
      </c>
      <c r="E25" s="25">
        <f>янв!E25+фев!E25+март!E25</f>
        <v>456.284</v>
      </c>
      <c r="F25" s="25">
        <f t="shared" si="0"/>
        <v>586.524</v>
      </c>
      <c r="G25" s="54">
        <f>янв!G25+фев!G25+март!G25</f>
        <v>103.445</v>
      </c>
      <c r="H25" s="54">
        <f>янв!H25+фев!H25+март!H25</f>
        <v>363.029</v>
      </c>
      <c r="I25" s="26">
        <f t="shared" si="1"/>
        <v>466.474</v>
      </c>
      <c r="J25" s="27">
        <f t="shared" si="2"/>
        <v>0.7942644348894348</v>
      </c>
      <c r="K25" s="27">
        <f t="shared" si="2"/>
        <v>0.795620709908741</v>
      </c>
      <c r="L25" s="28">
        <f t="shared" si="2"/>
        <v>0.7953195436162885</v>
      </c>
      <c r="M25" s="55">
        <f>янв!M25+фев!M25+март!M25</f>
        <v>95134.99</v>
      </c>
      <c r="N25" s="29">
        <f t="shared" si="3"/>
        <v>203.94489296295185</v>
      </c>
    </row>
    <row r="26" spans="1:14" ht="12.75">
      <c r="A26" s="31" t="s">
        <v>35</v>
      </c>
      <c r="B26" s="30"/>
      <c r="C26" s="30"/>
      <c r="D26" s="25">
        <f>янв!D26+фев!D26+март!D26</f>
        <v>73.25999999999999</v>
      </c>
      <c r="E26" s="25">
        <f>янв!E26+фев!E26+март!E26</f>
        <v>258.972</v>
      </c>
      <c r="F26" s="25">
        <f t="shared" si="0"/>
        <v>332.23199999999997</v>
      </c>
      <c r="G26" s="54">
        <f>янв!G26+фев!G26+март!G26</f>
        <v>76.438</v>
      </c>
      <c r="H26" s="54">
        <f>янв!H26+фев!H26+март!H26</f>
        <v>261.719</v>
      </c>
      <c r="I26" s="26">
        <f t="shared" si="1"/>
        <v>338.157</v>
      </c>
      <c r="J26" s="27">
        <f t="shared" si="2"/>
        <v>1.0433797433797436</v>
      </c>
      <c r="K26" s="27">
        <f t="shared" si="2"/>
        <v>1.0106073243439446</v>
      </c>
      <c r="L26" s="28">
        <f t="shared" si="2"/>
        <v>1.0178339232825255</v>
      </c>
      <c r="M26" s="55">
        <f>янв!M26+фев!M26+март!M26</f>
        <v>221607.74</v>
      </c>
      <c r="N26" s="29">
        <f t="shared" si="3"/>
        <v>655.3397977862354</v>
      </c>
    </row>
    <row r="27" spans="1:14" ht="12.75">
      <c r="A27" s="31" t="s">
        <v>36</v>
      </c>
      <c r="B27" s="30"/>
      <c r="C27" s="30"/>
      <c r="D27" s="25">
        <f>янв!D27+фев!D27+март!D27</f>
        <v>36.629999999999995</v>
      </c>
      <c r="E27" s="25">
        <f>янв!E27+фев!E27+март!E27</f>
        <v>135.652</v>
      </c>
      <c r="F27" s="25">
        <f t="shared" si="0"/>
        <v>172.28199999999998</v>
      </c>
      <c r="G27" s="54">
        <f>янв!G27+фев!G27+март!G27</f>
        <v>33.861000000000004</v>
      </c>
      <c r="H27" s="54">
        <f>янв!H27+фев!H27+март!H27</f>
        <v>140.88299999999998</v>
      </c>
      <c r="I27" s="26">
        <f t="shared" si="1"/>
        <v>174.74399999999997</v>
      </c>
      <c r="J27" s="27">
        <f t="shared" si="2"/>
        <v>0.9244062244062247</v>
      </c>
      <c r="K27" s="27">
        <f t="shared" si="2"/>
        <v>1.0385619084127031</v>
      </c>
      <c r="L27" s="28">
        <f t="shared" si="2"/>
        <v>1.014290523676298</v>
      </c>
      <c r="M27" s="55">
        <f>янв!M27+фев!M27+март!M27</f>
        <v>23709.61</v>
      </c>
      <c r="N27" s="29">
        <f t="shared" si="3"/>
        <v>135.6819690518702</v>
      </c>
    </row>
    <row r="28" spans="1:14" ht="12.75">
      <c r="A28" s="32" t="s">
        <v>9</v>
      </c>
      <c r="B28" s="30"/>
      <c r="C28" s="30"/>
      <c r="D28" s="25">
        <f>янв!D28+фев!D28+март!D28</f>
        <v>1587.3000000000002</v>
      </c>
      <c r="E28" s="25">
        <f>янв!E28+фев!E28+март!E28</f>
        <v>5549.4</v>
      </c>
      <c r="F28" s="25">
        <f t="shared" si="0"/>
        <v>7136.7</v>
      </c>
      <c r="G28" s="54">
        <f>янв!G28+фев!G28+март!G28</f>
        <v>1464.4940000000001</v>
      </c>
      <c r="H28" s="54">
        <f>янв!H28+фев!H28+март!H28</f>
        <v>4912.32</v>
      </c>
      <c r="I28" s="26">
        <f t="shared" si="1"/>
        <v>6376.814</v>
      </c>
      <c r="J28" s="27">
        <f t="shared" si="2"/>
        <v>0.9226321426321427</v>
      </c>
      <c r="K28" s="27">
        <f t="shared" si="2"/>
        <v>0.8851983998270083</v>
      </c>
      <c r="L28" s="28">
        <f t="shared" si="2"/>
        <v>0.8935241778412992</v>
      </c>
      <c r="M28" s="55">
        <f>янв!M28+фев!M28+март!M28</f>
        <v>401742.04999999993</v>
      </c>
      <c r="N28" s="29">
        <f t="shared" si="3"/>
        <v>63.00043407256349</v>
      </c>
    </row>
    <row r="29" spans="1:14" ht="12.75">
      <c r="A29" s="31" t="s">
        <v>10</v>
      </c>
      <c r="B29" s="30"/>
      <c r="C29" s="30"/>
      <c r="D29" s="25">
        <f>янв!D29+фев!D29+март!D29</f>
        <v>122.1</v>
      </c>
      <c r="E29" s="25">
        <f>янв!E29+фев!E29+март!E29</f>
        <v>493.28000000000003</v>
      </c>
      <c r="F29" s="25">
        <f t="shared" si="0"/>
        <v>615.38</v>
      </c>
      <c r="G29" s="54">
        <f>янв!G29+фев!G29+март!G29</f>
        <v>119.345</v>
      </c>
      <c r="H29" s="54">
        <f>янв!H29+фев!H29+март!H29</f>
        <v>428.15700000000004</v>
      </c>
      <c r="I29" s="26">
        <f t="shared" si="1"/>
        <v>547.5020000000001</v>
      </c>
      <c r="J29" s="27">
        <f t="shared" si="2"/>
        <v>0.9774365274365274</v>
      </c>
      <c r="K29" s="27">
        <f t="shared" si="2"/>
        <v>0.8679796464482648</v>
      </c>
      <c r="L29" s="28">
        <f t="shared" si="2"/>
        <v>0.8896974227306705</v>
      </c>
      <c r="M29" s="55">
        <f>янв!M29+фев!M29+март!M29</f>
        <v>183427.19999999998</v>
      </c>
      <c r="N29" s="29">
        <f t="shared" si="3"/>
        <v>335.0256254771671</v>
      </c>
    </row>
    <row r="30" spans="1:14" ht="12.75">
      <c r="A30" s="31" t="s">
        <v>11</v>
      </c>
      <c r="B30" s="30"/>
      <c r="C30" s="30"/>
      <c r="D30" s="25">
        <f>янв!D30+фев!D30+март!D30</f>
        <v>36.629999999999995</v>
      </c>
      <c r="E30" s="25">
        <f>янв!E30+фев!E30+март!E30</f>
        <v>135.652</v>
      </c>
      <c r="F30" s="25">
        <f t="shared" si="0"/>
        <v>172.28199999999998</v>
      </c>
      <c r="G30" s="54">
        <f>янв!G30+фев!G30+март!G30</f>
        <v>29.42</v>
      </c>
      <c r="H30" s="54">
        <f>янв!H30+фев!H30+март!H30</f>
        <v>110.841</v>
      </c>
      <c r="I30" s="26">
        <f t="shared" si="1"/>
        <v>140.261</v>
      </c>
      <c r="J30" s="27">
        <f t="shared" si="2"/>
        <v>0.8031668031668033</v>
      </c>
      <c r="K30" s="27">
        <f t="shared" si="2"/>
        <v>0.8170981629463628</v>
      </c>
      <c r="L30" s="28">
        <f t="shared" si="2"/>
        <v>0.8141361256544504</v>
      </c>
      <c r="M30" s="55">
        <f>янв!M30+фев!M30+март!M30</f>
        <v>25106.73</v>
      </c>
      <c r="N30" s="29">
        <f t="shared" si="3"/>
        <v>179.00007842522155</v>
      </c>
    </row>
    <row r="31" spans="1:14" ht="12.75">
      <c r="A31" s="31" t="s">
        <v>12</v>
      </c>
      <c r="B31" s="30"/>
      <c r="C31" s="30"/>
      <c r="D31" s="25">
        <f>янв!D31+фев!D31+март!D31</f>
        <v>16.28</v>
      </c>
      <c r="E31" s="25">
        <f>янв!E31+фев!E31+март!E31</f>
        <v>73.99199999999999</v>
      </c>
      <c r="F31" s="25">
        <f t="shared" si="0"/>
        <v>90.27199999999999</v>
      </c>
      <c r="G31" s="54">
        <f>янв!G31+фев!G31+март!G31</f>
        <v>15.054</v>
      </c>
      <c r="H31" s="54">
        <f>янв!H31+фев!H31+март!H31</f>
        <v>67.663</v>
      </c>
      <c r="I31" s="26">
        <f t="shared" si="1"/>
        <v>82.717</v>
      </c>
      <c r="J31" s="27">
        <f t="shared" si="2"/>
        <v>0.9246928746928746</v>
      </c>
      <c r="K31" s="27">
        <f t="shared" si="2"/>
        <v>0.9144637258081956</v>
      </c>
      <c r="L31" s="28">
        <f t="shared" si="2"/>
        <v>0.9163084898971996</v>
      </c>
      <c r="M31" s="55">
        <f>янв!M31+фев!M31+март!M31</f>
        <v>34962.75</v>
      </c>
      <c r="N31" s="29">
        <f t="shared" si="3"/>
        <v>422.6791348815842</v>
      </c>
    </row>
    <row r="32" spans="1:14" ht="12.75">
      <c r="A32" s="31" t="s">
        <v>13</v>
      </c>
      <c r="B32" s="30"/>
      <c r="C32" s="30"/>
      <c r="D32" s="25">
        <f>янв!D32+фев!D32+март!D32</f>
        <v>4070</v>
      </c>
      <c r="E32" s="25">
        <f>янв!E32+фев!E32+март!E32</f>
        <v>12332</v>
      </c>
      <c r="F32" s="25">
        <f t="shared" si="0"/>
        <v>16402</v>
      </c>
      <c r="G32" s="54">
        <f>янв!G32+фев!G32+март!G32</f>
        <v>3591.3999999999996</v>
      </c>
      <c r="H32" s="54">
        <f>янв!H32+фев!H32+март!H32</f>
        <v>11611.5</v>
      </c>
      <c r="I32" s="26">
        <f t="shared" si="1"/>
        <v>15202.9</v>
      </c>
      <c r="J32" s="27">
        <f t="shared" si="2"/>
        <v>0.8824078624078623</v>
      </c>
      <c r="K32" s="27">
        <f t="shared" si="2"/>
        <v>0.9415747648394421</v>
      </c>
      <c r="L32" s="28">
        <f t="shared" si="2"/>
        <v>0.926893061821729</v>
      </c>
      <c r="M32" s="55">
        <f>янв!M32+фев!M32+март!M32</f>
        <v>114021.63</v>
      </c>
      <c r="N32" s="29">
        <f t="shared" si="3"/>
        <v>7.4999921067691036</v>
      </c>
    </row>
    <row r="33" spans="1:14" ht="12.75">
      <c r="A33" s="31" t="s">
        <v>14</v>
      </c>
      <c r="B33" s="30"/>
      <c r="C33" s="30"/>
      <c r="D33" s="25">
        <f>янв!D33+фев!D33+март!D33</f>
        <v>101.75</v>
      </c>
      <c r="E33" s="25">
        <f>янв!E33+фев!E33+март!E33</f>
        <v>357.62800000000004</v>
      </c>
      <c r="F33" s="25">
        <f t="shared" si="0"/>
        <v>459.37800000000004</v>
      </c>
      <c r="G33" s="54">
        <f>янв!G33+фев!G33+март!G33</f>
        <v>93.369</v>
      </c>
      <c r="H33" s="54">
        <f>янв!H33+фев!H33+март!H33</f>
        <v>342.153</v>
      </c>
      <c r="I33" s="26">
        <f t="shared" si="1"/>
        <v>435.52200000000005</v>
      </c>
      <c r="J33" s="27">
        <f t="shared" si="2"/>
        <v>0.9176314496314496</v>
      </c>
      <c r="K33" s="27">
        <f t="shared" si="2"/>
        <v>0.9567287796257563</v>
      </c>
      <c r="L33" s="28">
        <f t="shared" si="2"/>
        <v>0.94806891057038</v>
      </c>
      <c r="M33" s="55">
        <f>янв!M33+фев!M33+март!M33</f>
        <v>12565.58</v>
      </c>
      <c r="N33" s="29">
        <f t="shared" si="3"/>
        <v>28.851768682179085</v>
      </c>
    </row>
    <row r="34" spans="1:14" ht="12.75">
      <c r="A34" s="31" t="s">
        <v>15</v>
      </c>
      <c r="B34" s="30"/>
      <c r="C34" s="30"/>
      <c r="D34" s="25">
        <f>янв!D34+фев!D34+март!D34</f>
        <v>122.1</v>
      </c>
      <c r="E34" s="25">
        <f>янв!E34+фев!E34+март!E34</f>
        <v>530.276</v>
      </c>
      <c r="F34" s="25">
        <f t="shared" si="0"/>
        <v>652.376</v>
      </c>
      <c r="G34" s="54">
        <f>янв!G34+фев!G34+март!G34</f>
        <v>128.373</v>
      </c>
      <c r="H34" s="54">
        <f>янв!H34+фев!H34+март!H34</f>
        <v>480.174</v>
      </c>
      <c r="I34" s="26">
        <f t="shared" si="1"/>
        <v>608.547</v>
      </c>
      <c r="J34" s="27">
        <f t="shared" si="2"/>
        <v>1.0513759213759213</v>
      </c>
      <c r="K34" s="27">
        <f t="shared" si="2"/>
        <v>0.905517126930127</v>
      </c>
      <c r="L34" s="28">
        <f t="shared" si="2"/>
        <v>0.9328163513066086</v>
      </c>
      <c r="M34" s="55">
        <f>янв!M34+фев!M34+март!M34</f>
        <v>31517.039999999997</v>
      </c>
      <c r="N34" s="29">
        <f t="shared" si="3"/>
        <v>51.79064230043036</v>
      </c>
    </row>
    <row r="35" spans="1:14" ht="12.75">
      <c r="A35" s="31" t="s">
        <v>16</v>
      </c>
      <c r="B35" s="30"/>
      <c r="C35" s="30"/>
      <c r="D35" s="25">
        <f>янв!D35+фев!D35+март!D35</f>
        <v>32.56</v>
      </c>
      <c r="E35" s="25">
        <f>янв!E35+фев!E35+март!E35</f>
        <v>147.98399999999998</v>
      </c>
      <c r="F35" s="25">
        <f t="shared" si="0"/>
        <v>180.54399999999998</v>
      </c>
      <c r="G35" s="54">
        <f>янв!G35+фев!G35+март!G35</f>
        <v>34.224000000000004</v>
      </c>
      <c r="H35" s="54">
        <f>янв!H35+фев!H35+март!H35</f>
        <v>123.74600000000001</v>
      </c>
      <c r="I35" s="26">
        <f t="shared" si="1"/>
        <v>157.97000000000003</v>
      </c>
      <c r="J35" s="27">
        <f t="shared" si="2"/>
        <v>1.0511056511056511</v>
      </c>
      <c r="K35" s="27">
        <f t="shared" si="2"/>
        <v>0.8362120229213971</v>
      </c>
      <c r="L35" s="28">
        <f t="shared" si="2"/>
        <v>0.8749667671038641</v>
      </c>
      <c r="M35" s="55">
        <f>янв!M35+фев!M35+март!M35</f>
        <v>6911.25</v>
      </c>
      <c r="N35" s="29">
        <f t="shared" si="3"/>
        <v>43.75039564474267</v>
      </c>
    </row>
    <row r="36" spans="1:14" ht="12.75">
      <c r="A36" s="31" t="s">
        <v>17</v>
      </c>
      <c r="B36" s="30"/>
      <c r="C36" s="30"/>
      <c r="D36" s="25">
        <f>янв!D36+фев!D36+март!D36</f>
        <v>101.75</v>
      </c>
      <c r="E36" s="25">
        <f>янв!E36+фев!E36+март!E36</f>
        <v>369.96</v>
      </c>
      <c r="F36" s="25">
        <f t="shared" si="0"/>
        <v>471.71</v>
      </c>
      <c r="G36" s="54">
        <f>янв!G36+фев!G36+март!G36</f>
        <v>87.28</v>
      </c>
      <c r="H36" s="54">
        <f>янв!H36+фев!H36+март!H36</f>
        <v>333.711</v>
      </c>
      <c r="I36" s="26">
        <f t="shared" si="1"/>
        <v>420.991</v>
      </c>
      <c r="J36" s="27">
        <f t="shared" si="2"/>
        <v>0.8577886977886978</v>
      </c>
      <c r="K36" s="27">
        <f t="shared" si="2"/>
        <v>0.9020191372040222</v>
      </c>
      <c r="L36" s="28">
        <f t="shared" si="2"/>
        <v>0.8924784295435755</v>
      </c>
      <c r="M36" s="55">
        <f>янв!M36+фев!M36+март!M36</f>
        <v>26042.159999999996</v>
      </c>
      <c r="N36" s="29">
        <f t="shared" si="3"/>
        <v>61.859184638151405</v>
      </c>
    </row>
    <row r="37" spans="1:14" ht="12.75">
      <c r="A37" s="31" t="s">
        <v>18</v>
      </c>
      <c r="B37" s="30"/>
      <c r="C37" s="30"/>
      <c r="D37" s="25">
        <f>янв!D37+фев!D37+март!D37</f>
        <v>48.84</v>
      </c>
      <c r="E37" s="25">
        <f>янв!E37+фев!E37+март!E37</f>
        <v>246.64000000000001</v>
      </c>
      <c r="F37" s="25">
        <f t="shared" si="0"/>
        <v>295.48</v>
      </c>
      <c r="G37" s="54">
        <f>янв!G37+фев!G37+март!G37</f>
        <v>40.156</v>
      </c>
      <c r="H37" s="54">
        <f>янв!H37+фев!H37+март!H37</f>
        <v>139.23499999999999</v>
      </c>
      <c r="I37" s="26">
        <f t="shared" si="1"/>
        <v>179.391</v>
      </c>
      <c r="J37" s="27">
        <f t="shared" si="2"/>
        <v>0.8221949221949221</v>
      </c>
      <c r="K37" s="27">
        <f t="shared" si="2"/>
        <v>0.564527246188777</v>
      </c>
      <c r="L37" s="28">
        <f t="shared" si="2"/>
        <v>0.6071172329768512</v>
      </c>
      <c r="M37" s="55">
        <f>янв!M37+фев!M37+март!M37</f>
        <v>20113.47</v>
      </c>
      <c r="N37" s="29">
        <f t="shared" si="3"/>
        <v>112.1208421827182</v>
      </c>
    </row>
    <row r="38" spans="1:14" ht="12.75">
      <c r="A38" s="31" t="s">
        <v>19</v>
      </c>
      <c r="B38" s="30"/>
      <c r="C38" s="30"/>
      <c r="D38" s="25">
        <f>янв!D38+фев!D38+март!D38</f>
        <v>36.629999999999995</v>
      </c>
      <c r="E38" s="25">
        <f>янв!E38+фев!E38+март!E38</f>
        <v>135.652</v>
      </c>
      <c r="F38" s="25">
        <f t="shared" si="0"/>
        <v>172.28199999999998</v>
      </c>
      <c r="G38" s="54">
        <f>янв!G38+фев!G38+март!G38</f>
        <v>30.858</v>
      </c>
      <c r="H38" s="54">
        <f>янв!H38+фев!H38+март!H38</f>
        <v>118.87799999999999</v>
      </c>
      <c r="I38" s="26">
        <f t="shared" si="1"/>
        <v>149.736</v>
      </c>
      <c r="J38" s="27">
        <f t="shared" si="2"/>
        <v>0.8424242424242425</v>
      </c>
      <c r="K38" s="27">
        <f t="shared" si="2"/>
        <v>0.8763453542889157</v>
      </c>
      <c r="L38" s="28">
        <f t="shared" si="2"/>
        <v>0.8691331653916254</v>
      </c>
      <c r="M38" s="55">
        <f>янв!M38+фев!M38+март!M38</f>
        <v>19182.76</v>
      </c>
      <c r="N38" s="29">
        <f t="shared" si="3"/>
        <v>128.11054121921248</v>
      </c>
    </row>
    <row r="39" spans="1:14" ht="12.75">
      <c r="A39" s="31" t="s">
        <v>20</v>
      </c>
      <c r="B39" s="30"/>
      <c r="C39" s="30"/>
      <c r="D39" s="25">
        <f>янв!D39+фев!D39+март!D39</f>
        <v>386.65</v>
      </c>
      <c r="E39" s="25">
        <f>янв!E39+фев!E39+март!E39</f>
        <v>1233.2</v>
      </c>
      <c r="F39" s="25">
        <f t="shared" si="0"/>
        <v>1619.85</v>
      </c>
      <c r="G39" s="54">
        <f>янв!G39+фев!G39+март!G39</f>
        <v>390.169</v>
      </c>
      <c r="H39" s="54">
        <f>янв!H39+фев!H39+март!H39</f>
        <v>1245.6299999999999</v>
      </c>
      <c r="I39" s="26">
        <f t="shared" si="1"/>
        <v>1635.799</v>
      </c>
      <c r="J39" s="27">
        <f t="shared" si="2"/>
        <v>1.0091012543644122</v>
      </c>
      <c r="K39" s="27">
        <f t="shared" si="2"/>
        <v>1.0100794680506</v>
      </c>
      <c r="L39" s="28">
        <f t="shared" si="2"/>
        <v>1.0098459733925982</v>
      </c>
      <c r="M39" s="55">
        <f>янв!M39+фев!M39+март!M39</f>
        <v>115922.97999999998</v>
      </c>
      <c r="N39" s="29">
        <f t="shared" si="3"/>
        <v>70.86627391262617</v>
      </c>
    </row>
    <row r="40" spans="1:14" ht="12.75">
      <c r="A40" s="31" t="s">
        <v>21</v>
      </c>
      <c r="B40" s="30"/>
      <c r="C40" s="30"/>
      <c r="D40" s="25">
        <f>янв!D40+фев!D40+март!D40</f>
        <v>407</v>
      </c>
      <c r="E40" s="25">
        <f>янв!E40+фев!E40+март!E40</f>
        <v>1233.2</v>
      </c>
      <c r="F40" s="25">
        <f t="shared" si="0"/>
        <v>1640.2</v>
      </c>
      <c r="G40" s="54">
        <f>янв!G40+фев!G40+март!G40</f>
        <v>347.20000000000005</v>
      </c>
      <c r="H40" s="54">
        <f>янв!H40+фев!H40+март!H40</f>
        <v>1197.6</v>
      </c>
      <c r="I40" s="26">
        <f t="shared" si="1"/>
        <v>1544.8</v>
      </c>
      <c r="J40" s="27">
        <f t="shared" si="2"/>
        <v>0.8530712530712532</v>
      </c>
      <c r="K40" s="27">
        <f t="shared" si="2"/>
        <v>0.9711320142718131</v>
      </c>
      <c r="L40" s="28">
        <f t="shared" si="2"/>
        <v>0.941836361419339</v>
      </c>
      <c r="M40" s="55">
        <f>янв!M40+фев!M40+март!M40</f>
        <v>78147.23999999999</v>
      </c>
      <c r="N40" s="29">
        <f t="shared" si="3"/>
        <v>50.58728638011392</v>
      </c>
    </row>
    <row r="41" spans="1:14" ht="12.75">
      <c r="A41" s="31" t="s">
        <v>22</v>
      </c>
      <c r="B41" s="30"/>
      <c r="C41" s="30"/>
      <c r="D41" s="25">
        <f>янв!D41+фев!D41+март!D41</f>
        <v>488.4</v>
      </c>
      <c r="E41" s="25">
        <f>янв!E41+фев!E41+март!E41</f>
        <v>1726.48</v>
      </c>
      <c r="F41" s="25">
        <f t="shared" si="0"/>
        <v>2214.88</v>
      </c>
      <c r="G41" s="54">
        <f>янв!G41+фев!G41+март!G41</f>
        <v>465.07899999999995</v>
      </c>
      <c r="H41" s="54">
        <f>янв!H41+фев!H41+март!H41</f>
        <v>1739.729</v>
      </c>
      <c r="I41" s="26">
        <f t="shared" si="1"/>
        <v>2204.808</v>
      </c>
      <c r="J41" s="27">
        <f t="shared" si="2"/>
        <v>0.9522502047502047</v>
      </c>
      <c r="K41" s="27">
        <f t="shared" si="2"/>
        <v>1.0076739956443168</v>
      </c>
      <c r="L41" s="28">
        <f t="shared" si="2"/>
        <v>0.9954525753088203</v>
      </c>
      <c r="M41" s="55">
        <f>янв!M41+фев!M41+март!M41</f>
        <v>66690.8</v>
      </c>
      <c r="N41" s="29">
        <f t="shared" si="3"/>
        <v>30.24789460125326</v>
      </c>
    </row>
    <row r="42" spans="1:14" ht="12.75">
      <c r="A42" s="31" t="s">
        <v>23</v>
      </c>
      <c r="B42" s="30"/>
      <c r="C42" s="30"/>
      <c r="D42" s="25">
        <f>янв!D42+фев!D42+март!D42</f>
        <v>732.5999999999999</v>
      </c>
      <c r="E42" s="25">
        <f>янв!E42+фев!E42+март!E42</f>
        <v>2713.04</v>
      </c>
      <c r="F42" s="25">
        <f t="shared" si="0"/>
        <v>3445.64</v>
      </c>
      <c r="G42" s="54">
        <f>янв!G42+фев!G42+март!G42</f>
        <v>622.35</v>
      </c>
      <c r="H42" s="54">
        <f>янв!H42+фев!H42+март!H42</f>
        <v>2414.9260000000004</v>
      </c>
      <c r="I42" s="26">
        <f t="shared" si="1"/>
        <v>3037.2760000000003</v>
      </c>
      <c r="J42" s="27">
        <f t="shared" si="2"/>
        <v>0.8495085995085997</v>
      </c>
      <c r="K42" s="27">
        <f t="shared" si="2"/>
        <v>0.8901180963052518</v>
      </c>
      <c r="L42" s="28">
        <f t="shared" si="2"/>
        <v>0.8814838462520752</v>
      </c>
      <c r="M42" s="55">
        <f>янв!M42+фев!M42+март!M42</f>
        <v>102066.65999999999</v>
      </c>
      <c r="N42" s="29">
        <f t="shared" si="3"/>
        <v>33.60467076419791</v>
      </c>
    </row>
    <row r="43" spans="1:14" ht="12.75">
      <c r="A43" s="31" t="s">
        <v>24</v>
      </c>
      <c r="B43" s="30"/>
      <c r="C43" s="30"/>
      <c r="D43" s="25">
        <f>янв!D43+фев!D43+март!D43</f>
        <v>162.8</v>
      </c>
      <c r="E43" s="25">
        <f>янв!E43+фев!E43+март!E43</f>
        <v>616.6</v>
      </c>
      <c r="F43" s="25">
        <f t="shared" si="0"/>
        <v>779.4000000000001</v>
      </c>
      <c r="G43" s="54">
        <f>янв!G43+фев!G43+март!G43</f>
        <v>162.445</v>
      </c>
      <c r="H43" s="54">
        <f>янв!H43+фев!H43+март!H43</f>
        <v>558.641</v>
      </c>
      <c r="I43" s="26">
        <f t="shared" si="1"/>
        <v>721.086</v>
      </c>
      <c r="J43" s="27">
        <f t="shared" si="2"/>
        <v>0.9978194103194102</v>
      </c>
      <c r="K43" s="27">
        <f t="shared" si="2"/>
        <v>0.9060022705157313</v>
      </c>
      <c r="L43" s="28">
        <f t="shared" si="2"/>
        <v>0.9251809083910699</v>
      </c>
      <c r="M43" s="55">
        <f>янв!M43+фев!M43+март!M43</f>
        <v>34848.11</v>
      </c>
      <c r="N43" s="29">
        <f t="shared" si="3"/>
        <v>48.32725916187528</v>
      </c>
    </row>
    <row r="44" spans="1:14" ht="12.75">
      <c r="A44" s="32" t="s">
        <v>25</v>
      </c>
      <c r="B44" s="30"/>
      <c r="C44" s="30"/>
      <c r="D44" s="25">
        <f>янв!D44+фев!D44+март!D44</f>
        <v>244.2</v>
      </c>
      <c r="E44" s="25">
        <f>янв!E44+фев!E44+март!E44</f>
        <v>986.5600000000001</v>
      </c>
      <c r="F44" s="25">
        <f>D44+E44</f>
        <v>1230.76</v>
      </c>
      <c r="G44" s="54">
        <f>янв!G44+фев!G44+март!G44</f>
        <v>224.543</v>
      </c>
      <c r="H44" s="54">
        <f>янв!H44+фев!H44+март!H44</f>
        <v>834.703</v>
      </c>
      <c r="I44" s="26">
        <f>G44+H44</f>
        <v>1059.246</v>
      </c>
      <c r="J44" s="27">
        <f t="shared" si="2"/>
        <v>0.9195045045045046</v>
      </c>
      <c r="K44" s="27">
        <f t="shared" si="2"/>
        <v>0.8460742377554329</v>
      </c>
      <c r="L44" s="28">
        <f t="shared" si="2"/>
        <v>0.8606438298287238</v>
      </c>
      <c r="M44" s="55">
        <f>янв!M44+фев!M44+март!M44</f>
        <v>65121.95999999999</v>
      </c>
      <c r="N44" s="29">
        <f>IF(I44&gt;0,M44/I44,0)</f>
        <v>61.479542995678045</v>
      </c>
    </row>
    <row r="45" spans="1:14" s="20" customFormat="1" ht="12.75">
      <c r="A45" s="44" t="s">
        <v>54</v>
      </c>
      <c r="B45" s="45"/>
      <c r="C45" s="45"/>
      <c r="D45" s="46">
        <f>SUM(D22:D44)</f>
        <v>9304.02</v>
      </c>
      <c r="E45" s="46">
        <f>SUM(E22:E44)</f>
        <v>31014.98</v>
      </c>
      <c r="F45" s="46">
        <f>D45+E45</f>
        <v>40319</v>
      </c>
      <c r="G45" s="56">
        <f>SUM(G22:G44)</f>
        <v>8380.368999999999</v>
      </c>
      <c r="H45" s="56">
        <f>SUM(H22:H44)</f>
        <v>28627.050999999996</v>
      </c>
      <c r="I45" s="47">
        <f>G45+H45</f>
        <v>37007.42</v>
      </c>
      <c r="J45" s="59">
        <f>IF(G45&gt;0,G45/D45,0)</f>
        <v>0.9007256003318994</v>
      </c>
      <c r="K45" s="59">
        <f>IF(E45&gt;0,H45/E45,0)</f>
        <v>0.9230072371479845</v>
      </c>
      <c r="L45" s="59">
        <f>IF(F45&gt;0,I45/F45,0)</f>
        <v>0.9178655224583943</v>
      </c>
      <c r="M45" s="57">
        <f>SUM(SUM(M22:M44))</f>
        <v>2129487.6100000003</v>
      </c>
      <c r="N45" s="60"/>
    </row>
    <row r="46" ht="13.5" thickBot="1"/>
    <row r="47" spans="1:14" s="37" customFormat="1" ht="21" customHeight="1" thickBot="1">
      <c r="A47" s="33" t="s">
        <v>48</v>
      </c>
      <c r="B47" s="34">
        <f>SUM(B22:B24)</f>
        <v>0</v>
      </c>
      <c r="C47" s="34">
        <f>SUM(C22:C24)</f>
        <v>0</v>
      </c>
      <c r="D47" s="35">
        <f aca="true" t="shared" si="4" ref="D47:I47">SUM(D22:D24)</f>
        <v>366.29999999999995</v>
      </c>
      <c r="E47" s="35">
        <f t="shared" si="4"/>
        <v>1282.528</v>
      </c>
      <c r="F47" s="35">
        <f t="shared" si="4"/>
        <v>1648.828</v>
      </c>
      <c r="G47" s="35">
        <f t="shared" si="4"/>
        <v>320.866</v>
      </c>
      <c r="H47" s="35">
        <f t="shared" si="4"/>
        <v>1201.8129999999999</v>
      </c>
      <c r="I47" s="35">
        <f t="shared" si="4"/>
        <v>1522.679</v>
      </c>
      <c r="J47" s="61">
        <f>IF(G47=0,0,G47/D47)</f>
        <v>0.875965055965056</v>
      </c>
      <c r="K47" s="61">
        <f>IF(H47=0,0,H47/E47)</f>
        <v>0.937065701489558</v>
      </c>
      <c r="L47" s="61">
        <f>IF(I47&gt;0,I47/F47,0)</f>
        <v>0.9234917165404761</v>
      </c>
      <c r="M47" s="58">
        <f>SUM(M22:M24)</f>
        <v>450644.9</v>
      </c>
      <c r="N47" s="36">
        <f>IF(M47=0,0,M47/I47)</f>
        <v>295.9552867019247</v>
      </c>
    </row>
  </sheetData>
  <sheetProtection password="CC53" sheet="1" formatCells="0" formatColumns="0" formatRows="0" insertColumns="0" insertRows="0" insertHyperlinks="0" deleteColumns="0" deleteRows="0" sort="0" autoFilter="0" pivotTables="0"/>
  <mergeCells count="19">
    <mergeCell ref="M20:M21"/>
    <mergeCell ref="E2:G2"/>
    <mergeCell ref="A15:B15"/>
    <mergeCell ref="L15:M15"/>
    <mergeCell ref="C8:C10"/>
    <mergeCell ref="D8:F10"/>
    <mergeCell ref="A11:B11"/>
    <mergeCell ref="L13:N13"/>
    <mergeCell ref="L14:M14"/>
    <mergeCell ref="A1:G1"/>
    <mergeCell ref="L16:M16"/>
    <mergeCell ref="L17:M17"/>
    <mergeCell ref="A19:N19"/>
    <mergeCell ref="A20:A21"/>
    <mergeCell ref="B20:C20"/>
    <mergeCell ref="D20:F20"/>
    <mergeCell ref="G20:I20"/>
    <mergeCell ref="N20:N21"/>
    <mergeCell ref="J20:L20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B13" sqref="B13"/>
    </sheetView>
  </sheetViews>
  <sheetFormatPr defaultColWidth="9.125" defaultRowHeight="12.75"/>
  <cols>
    <col min="1" max="1" width="32.625" style="2" customWidth="1"/>
    <col min="2" max="2" width="13.875" style="2" customWidth="1"/>
    <col min="3" max="3" width="12.125" style="2" customWidth="1"/>
    <col min="4" max="12" width="11.375" style="2" customWidth="1"/>
    <col min="13" max="13" width="12.50390625" style="2" customWidth="1"/>
    <col min="14" max="14" width="11.375" style="2" customWidth="1"/>
    <col min="15" max="15" width="10.50390625" style="2" customWidth="1"/>
    <col min="16" max="16384" width="9.125" style="2" customWidth="1"/>
  </cols>
  <sheetData>
    <row r="1" spans="1:14" ht="24" customHeight="1">
      <c r="A1" s="171" t="s">
        <v>94</v>
      </c>
      <c r="B1" s="171"/>
      <c r="C1" s="171"/>
      <c r="D1" s="171"/>
      <c r="E1" s="171"/>
      <c r="F1" s="171"/>
      <c r="G1" s="171"/>
      <c r="H1" s="119">
        <f>янв!H1</f>
        <v>2023</v>
      </c>
      <c r="I1" s="1" t="s">
        <v>75</v>
      </c>
      <c r="J1" s="1"/>
      <c r="K1" s="1"/>
      <c r="L1" s="1"/>
      <c r="M1" s="1"/>
      <c r="N1" s="1"/>
    </row>
    <row r="2" spans="1:7" ht="12.75">
      <c r="A2" s="3" t="s">
        <v>26</v>
      </c>
      <c r="B2" s="52"/>
      <c r="E2" s="183" t="s">
        <v>55</v>
      </c>
      <c r="F2" s="183"/>
      <c r="G2" s="183"/>
    </row>
    <row r="3" spans="1:2" ht="12.75">
      <c r="A3" s="3" t="s">
        <v>0</v>
      </c>
      <c r="B3" s="52"/>
    </row>
    <row r="4" spans="1:2" ht="12.75">
      <c r="A4" s="4" t="s">
        <v>30</v>
      </c>
      <c r="B4" s="53">
        <f>янв!B4</f>
        <v>448</v>
      </c>
    </row>
    <row r="5" spans="1:2" ht="12.75">
      <c r="A5" s="5" t="s">
        <v>28</v>
      </c>
      <c r="B5" s="140">
        <f>B6+B7</f>
        <v>17972</v>
      </c>
    </row>
    <row r="6" spans="1:2" ht="12.75">
      <c r="A6" s="6" t="s">
        <v>27</v>
      </c>
      <c r="B6" s="141">
        <f>апр!B6+май!B6+июнь!B6</f>
        <v>4725</v>
      </c>
    </row>
    <row r="7" spans="1:2" ht="13.5" thickBot="1">
      <c r="A7" s="7" t="s">
        <v>29</v>
      </c>
      <c r="B7" s="143">
        <f>апр!B7+май!B7+июнь!B7</f>
        <v>13247</v>
      </c>
    </row>
    <row r="8" spans="1:6" ht="12.75">
      <c r="A8" s="8" t="s">
        <v>31</v>
      </c>
      <c r="B8" s="142">
        <f>апр!B8+май!B8+июнь!B8</f>
        <v>2544323.88</v>
      </c>
      <c r="C8" s="184"/>
      <c r="D8" s="187"/>
      <c r="E8" s="183"/>
      <c r="F8" s="183"/>
    </row>
    <row r="9" spans="1:6" ht="12.75">
      <c r="A9" s="9" t="s">
        <v>32</v>
      </c>
      <c r="B9" s="129">
        <f>апр!B9+май!B9+июнь!B9</f>
        <v>2528383.95</v>
      </c>
      <c r="C9" s="184"/>
      <c r="D9" s="187"/>
      <c r="E9" s="183"/>
      <c r="F9" s="183"/>
    </row>
    <row r="10" spans="1:6" ht="13.5" thickBot="1">
      <c r="A10" s="11" t="s">
        <v>33</v>
      </c>
      <c r="B10" s="130">
        <f>B8-B9</f>
        <v>15939.929999999702</v>
      </c>
      <c r="C10" s="184"/>
      <c r="D10" s="187"/>
      <c r="E10" s="183"/>
      <c r="F10" s="183"/>
    </row>
    <row r="11" spans="1:3" ht="12.75">
      <c r="A11" s="185" t="s">
        <v>40</v>
      </c>
      <c r="B11" s="185"/>
      <c r="C11" s="12"/>
    </row>
    <row r="12" spans="1:3" ht="12.75">
      <c r="A12" s="3" t="s">
        <v>34</v>
      </c>
      <c r="B12" s="13">
        <v>131</v>
      </c>
      <c r="C12" s="12"/>
    </row>
    <row r="13" spans="1:14" ht="12.75" customHeight="1">
      <c r="A13" s="3" t="s">
        <v>2</v>
      </c>
      <c r="B13" s="131">
        <f>IF(M45&gt;0,B8/B5,0)</f>
        <v>141.57154907634097</v>
      </c>
      <c r="C13" s="12"/>
      <c r="L13" s="176" t="s">
        <v>49</v>
      </c>
      <c r="M13" s="176"/>
      <c r="N13" s="176"/>
    </row>
    <row r="14" spans="1:14" ht="12.75">
      <c r="A14" s="14" t="s">
        <v>3</v>
      </c>
      <c r="B14" s="15">
        <f>B13/B12</f>
        <v>1.0806988479109998</v>
      </c>
      <c r="E14" s="42"/>
      <c r="L14" s="177" t="s">
        <v>50</v>
      </c>
      <c r="M14" s="177"/>
      <c r="N14" s="41">
        <v>2</v>
      </c>
    </row>
    <row r="15" spans="1:14" ht="12.75">
      <c r="A15" s="182" t="s">
        <v>41</v>
      </c>
      <c r="B15" s="182"/>
      <c r="C15" s="12"/>
      <c r="E15" s="43"/>
      <c r="L15" s="177" t="s">
        <v>53</v>
      </c>
      <c r="M15" s="177"/>
      <c r="N15" s="41">
        <v>1.25</v>
      </c>
    </row>
    <row r="16" spans="1:14" ht="12.75">
      <c r="A16" s="3" t="s">
        <v>42</v>
      </c>
      <c r="B16" s="16">
        <f>J45</f>
        <v>0.9148917496424058</v>
      </c>
      <c r="C16" s="12"/>
      <c r="L16" s="177" t="s">
        <v>52</v>
      </c>
      <c r="M16" s="177"/>
      <c r="N16" s="41">
        <v>2.63</v>
      </c>
    </row>
    <row r="17" spans="1:14" ht="13.5" thickBot="1">
      <c r="A17" s="3" t="s">
        <v>43</v>
      </c>
      <c r="B17" s="17">
        <f>K45</f>
        <v>0.9096626701630632</v>
      </c>
      <c r="C17" s="12"/>
      <c r="L17" s="177" t="s">
        <v>51</v>
      </c>
      <c r="M17" s="177"/>
      <c r="N17" s="41">
        <v>8.33</v>
      </c>
    </row>
    <row r="18" spans="1:3" ht="18" thickBot="1">
      <c r="A18" s="18" t="s">
        <v>44</v>
      </c>
      <c r="B18" s="19">
        <f>L45</f>
        <v>0.9109429115008754</v>
      </c>
      <c r="C18" s="12"/>
    </row>
    <row r="19" spans="1:14" ht="18.75" customHeight="1">
      <c r="A19" s="174" t="s">
        <v>1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</row>
    <row r="20" spans="1:14" s="20" customFormat="1" ht="39" customHeight="1">
      <c r="A20" s="186"/>
      <c r="B20" s="179" t="s">
        <v>37</v>
      </c>
      <c r="C20" s="179"/>
      <c r="D20" s="178" t="s">
        <v>38</v>
      </c>
      <c r="E20" s="178"/>
      <c r="F20" s="179"/>
      <c r="G20" s="178" t="s">
        <v>39</v>
      </c>
      <c r="H20" s="179"/>
      <c r="I20" s="179"/>
      <c r="J20" s="180" t="s">
        <v>4</v>
      </c>
      <c r="K20" s="181"/>
      <c r="L20" s="181"/>
      <c r="M20" s="172" t="s">
        <v>46</v>
      </c>
      <c r="N20" s="172" t="s">
        <v>47</v>
      </c>
    </row>
    <row r="21" spans="1:14" s="20" customFormat="1" ht="12.75">
      <c r="A21" s="186"/>
      <c r="B21" s="48" t="s">
        <v>27</v>
      </c>
      <c r="C21" s="48" t="s">
        <v>29</v>
      </c>
      <c r="D21" s="21" t="s">
        <v>27</v>
      </c>
      <c r="E21" s="21" t="s">
        <v>29</v>
      </c>
      <c r="F21" s="21" t="s">
        <v>5</v>
      </c>
      <c r="G21" s="21" t="s">
        <v>27</v>
      </c>
      <c r="H21" s="21" t="s">
        <v>29</v>
      </c>
      <c r="I21" s="21" t="s">
        <v>5</v>
      </c>
      <c r="J21" s="21" t="s">
        <v>27</v>
      </c>
      <c r="K21" s="21" t="s">
        <v>29</v>
      </c>
      <c r="L21" s="22" t="s">
        <v>45</v>
      </c>
      <c r="M21" s="173"/>
      <c r="N21" s="173"/>
    </row>
    <row r="22" spans="1:14" ht="12.75">
      <c r="A22" s="23" t="s">
        <v>6</v>
      </c>
      <c r="B22" s="30"/>
      <c r="C22" s="30"/>
      <c r="D22" s="25">
        <f>апр!D22+май!D22+июнь!D22</f>
        <v>236.25</v>
      </c>
      <c r="E22" s="25">
        <f>апр!E22+май!E22+июнь!E22</f>
        <v>728.585</v>
      </c>
      <c r="F22" s="25">
        <f>D22+E22</f>
        <v>964.835</v>
      </c>
      <c r="G22" s="54">
        <f>апр!G22+май!G22+июнь!G22</f>
        <v>230.289</v>
      </c>
      <c r="H22" s="54">
        <f>апр!H22+май!H22+июнь!H22</f>
        <v>790.106</v>
      </c>
      <c r="I22" s="26">
        <f>G22+H22</f>
        <v>1020.395</v>
      </c>
      <c r="J22" s="27">
        <f>IF(G22&gt;0,G22/D22,0)</f>
        <v>0.974768253968254</v>
      </c>
      <c r="K22" s="27">
        <f>IF(H22&gt;0,H22/E22,0)</f>
        <v>1.0844390153516748</v>
      </c>
      <c r="L22" s="28">
        <f>IF(I22&gt;0,I22/F22,0)</f>
        <v>1.057584975669415</v>
      </c>
      <c r="M22" s="55">
        <f>апр!M22+май!M22+июнь!M22</f>
        <v>309094.51</v>
      </c>
      <c r="N22" s="29">
        <f>IF(I22&gt;0,M22/I22,0)</f>
        <v>302.9165274232038</v>
      </c>
    </row>
    <row r="23" spans="1:14" ht="12.75">
      <c r="A23" s="23" t="s">
        <v>7</v>
      </c>
      <c r="B23" s="30"/>
      <c r="C23" s="30"/>
      <c r="D23" s="25">
        <f>апр!D23+май!D23+июнь!D23</f>
        <v>94.5</v>
      </c>
      <c r="E23" s="25">
        <f>апр!E23+май!E23+июнь!E23</f>
        <v>317.928</v>
      </c>
      <c r="F23" s="25">
        <f aca="true" t="shared" si="0" ref="F23:F43">D23+E23</f>
        <v>412.428</v>
      </c>
      <c r="G23" s="54">
        <f>апр!G23+май!G23+июнь!G23</f>
        <v>83.903</v>
      </c>
      <c r="H23" s="54">
        <f>апр!H23+май!H23+июнь!H23</f>
        <v>284.892</v>
      </c>
      <c r="I23" s="26">
        <f aca="true" t="shared" si="1" ref="I23:I43">G23+H23</f>
        <v>368.795</v>
      </c>
      <c r="J23" s="27">
        <f aca="true" t="shared" si="2" ref="J23:L44">IF(D23&gt;0,G23/D23,0)</f>
        <v>0.8878624338624339</v>
      </c>
      <c r="K23" s="27">
        <f t="shared" si="2"/>
        <v>0.8960896806824187</v>
      </c>
      <c r="L23" s="28">
        <f t="shared" si="2"/>
        <v>0.8942045641905981</v>
      </c>
      <c r="M23" s="55">
        <f>апр!M23+май!M23+июнь!M23</f>
        <v>83471.6</v>
      </c>
      <c r="N23" s="29">
        <f aca="true" t="shared" si="3" ref="N23:N43">IF(I23&gt;0,M23/I23,0)</f>
        <v>226.3360403476186</v>
      </c>
    </row>
    <row r="24" spans="1:14" ht="12.75">
      <c r="A24" s="23" t="s">
        <v>97</v>
      </c>
      <c r="B24" s="30"/>
      <c r="C24" s="30"/>
      <c r="D24" s="25">
        <f>апр!D24+май!D24+июнь!D24</f>
        <v>94.5</v>
      </c>
      <c r="E24" s="25">
        <f>апр!E24+май!E24+июнь!E24</f>
        <v>331.175</v>
      </c>
      <c r="F24" s="25">
        <f>D24+E24</f>
        <v>425.675</v>
      </c>
      <c r="G24" s="54">
        <f>апр!G24+май!G24+июнь!G24</f>
        <v>83.03999999999999</v>
      </c>
      <c r="H24" s="54">
        <f>апр!H24+май!H24+июнь!H24</f>
        <v>266.892</v>
      </c>
      <c r="I24" s="26">
        <f>G24+H24</f>
        <v>349.932</v>
      </c>
      <c r="J24" s="27">
        <f>IF(D24&gt;0,G24/D24,0)</f>
        <v>0.8787301587301587</v>
      </c>
      <c r="K24" s="27">
        <f>IF(E24&gt;0,H24/E24,0)</f>
        <v>0.8058941647165395</v>
      </c>
      <c r="L24" s="28">
        <f>IF(F24&gt;0,I24/F24,0)</f>
        <v>0.8220637810536208</v>
      </c>
      <c r="M24" s="55">
        <f>апр!M24+май!M24+июнь!M24</f>
        <v>94063.54999999999</v>
      </c>
      <c r="N24" s="29">
        <f>IF(I24&gt;0,M24/I24,0)</f>
        <v>268.80522501514577</v>
      </c>
    </row>
    <row r="25" spans="1:14" ht="12.75">
      <c r="A25" s="31" t="s">
        <v>8</v>
      </c>
      <c r="B25" s="30"/>
      <c r="C25" s="30"/>
      <c r="D25" s="25">
        <f>апр!D25+май!D25+июнь!D25</f>
        <v>151.2</v>
      </c>
      <c r="E25" s="25">
        <f>апр!E25+май!E25+июнь!E25</f>
        <v>490.139</v>
      </c>
      <c r="F25" s="25">
        <f t="shared" si="0"/>
        <v>641.3389999999999</v>
      </c>
      <c r="G25" s="54">
        <f>апр!G25+май!G25+июнь!G25</f>
        <v>136.142</v>
      </c>
      <c r="H25" s="54">
        <f>апр!H25+май!H25+июнь!H25</f>
        <v>433.805</v>
      </c>
      <c r="I25" s="26">
        <f t="shared" si="1"/>
        <v>569.947</v>
      </c>
      <c r="J25" s="27">
        <f t="shared" si="2"/>
        <v>0.9004100529100529</v>
      </c>
      <c r="K25" s="27">
        <f t="shared" si="2"/>
        <v>0.8850652569985249</v>
      </c>
      <c r="L25" s="28">
        <f t="shared" si="2"/>
        <v>0.8886828962529958</v>
      </c>
      <c r="M25" s="55">
        <f>апр!M25+май!M25+июнь!M25</f>
        <v>136171.44</v>
      </c>
      <c r="N25" s="29">
        <f t="shared" si="3"/>
        <v>238.9194784778234</v>
      </c>
    </row>
    <row r="26" spans="1:14" ht="12.75">
      <c r="A26" s="31" t="s">
        <v>35</v>
      </c>
      <c r="B26" s="30"/>
      <c r="C26" s="30"/>
      <c r="D26" s="25">
        <f>апр!D26+май!D26+июнь!D26</f>
        <v>85.05</v>
      </c>
      <c r="E26" s="25">
        <f>апр!E26+май!E26+июнь!E26</f>
        <v>278.187</v>
      </c>
      <c r="F26" s="25">
        <f t="shared" si="0"/>
        <v>363.237</v>
      </c>
      <c r="G26" s="54">
        <f>апр!G26+май!G26+июнь!G26</f>
        <v>83.707</v>
      </c>
      <c r="H26" s="54">
        <f>апр!H26+май!H26+июнь!H26</f>
        <v>268.202</v>
      </c>
      <c r="I26" s="26">
        <f t="shared" si="1"/>
        <v>351.909</v>
      </c>
      <c r="J26" s="27">
        <f t="shared" si="2"/>
        <v>0.984209288653733</v>
      </c>
      <c r="K26" s="27">
        <f t="shared" si="2"/>
        <v>0.964106877747702</v>
      </c>
      <c r="L26" s="28">
        <f t="shared" si="2"/>
        <v>0.9688137497006086</v>
      </c>
      <c r="M26" s="55">
        <f>апр!M26+май!M26+июнь!M26</f>
        <v>230695.56</v>
      </c>
      <c r="N26" s="29">
        <f t="shared" si="3"/>
        <v>655.5545893966906</v>
      </c>
    </row>
    <row r="27" spans="1:14" ht="12.75">
      <c r="A27" s="31" t="s">
        <v>36</v>
      </c>
      <c r="B27" s="30"/>
      <c r="C27" s="30"/>
      <c r="D27" s="25">
        <f>апр!D27+май!D27+июнь!D27</f>
        <v>42.525</v>
      </c>
      <c r="E27" s="25">
        <f>апр!E27+май!E27+июнь!E27</f>
        <v>145.71699999999998</v>
      </c>
      <c r="F27" s="25">
        <f t="shared" si="0"/>
        <v>188.242</v>
      </c>
      <c r="G27" s="54">
        <f>апр!G27+май!G27+июнь!G27</f>
        <v>37.435</v>
      </c>
      <c r="H27" s="54">
        <f>апр!H27+май!H27+июнь!H27</f>
        <v>144.173</v>
      </c>
      <c r="I27" s="26">
        <f t="shared" si="1"/>
        <v>181.608</v>
      </c>
      <c r="J27" s="27">
        <f t="shared" si="2"/>
        <v>0.8803057025279248</v>
      </c>
      <c r="K27" s="27">
        <f t="shared" si="2"/>
        <v>0.9894041189428826</v>
      </c>
      <c r="L27" s="28">
        <f t="shared" si="2"/>
        <v>0.9647581304916013</v>
      </c>
      <c r="M27" s="55">
        <f>апр!M27+май!M27+июнь!M27</f>
        <v>19950.83</v>
      </c>
      <c r="N27" s="29">
        <f t="shared" si="3"/>
        <v>109.85655918241488</v>
      </c>
    </row>
    <row r="28" spans="1:14" ht="12.75">
      <c r="A28" s="32" t="s">
        <v>9</v>
      </c>
      <c r="B28" s="30"/>
      <c r="C28" s="30"/>
      <c r="D28" s="25">
        <f>апр!D28+май!D28+июнь!D28</f>
        <v>1842.75</v>
      </c>
      <c r="E28" s="25">
        <f>апр!E28+май!E28+июнь!E28</f>
        <v>5961.15</v>
      </c>
      <c r="F28" s="25">
        <f t="shared" si="0"/>
        <v>7803.9</v>
      </c>
      <c r="G28" s="54">
        <f>апр!G28+май!G28+июнь!G28</f>
        <v>1595.975</v>
      </c>
      <c r="H28" s="54">
        <f>апр!H28+май!H28+июнь!H28</f>
        <v>5320.643</v>
      </c>
      <c r="I28" s="26">
        <f t="shared" si="1"/>
        <v>6916.618</v>
      </c>
      <c r="J28" s="27">
        <f t="shared" si="2"/>
        <v>0.8660832994166326</v>
      </c>
      <c r="K28" s="27">
        <f t="shared" si="2"/>
        <v>0.8925531147513484</v>
      </c>
      <c r="L28" s="28">
        <f t="shared" si="2"/>
        <v>0.8863027460628661</v>
      </c>
      <c r="M28" s="55">
        <f>апр!M28+май!M28+июнь!M28</f>
        <v>441028.16000000003</v>
      </c>
      <c r="N28" s="29">
        <f t="shared" si="3"/>
        <v>63.763556119479205</v>
      </c>
    </row>
    <row r="29" spans="1:14" ht="12.75">
      <c r="A29" s="31" t="s">
        <v>10</v>
      </c>
      <c r="B29" s="30"/>
      <c r="C29" s="30"/>
      <c r="D29" s="25">
        <f>апр!D29+май!D29+июнь!D29</f>
        <v>141.75</v>
      </c>
      <c r="E29" s="25">
        <f>апр!E29+май!E29+июнь!E29</f>
        <v>529.88</v>
      </c>
      <c r="F29" s="25">
        <f t="shared" si="0"/>
        <v>671.63</v>
      </c>
      <c r="G29" s="54">
        <f>апр!G29+май!G29+июнь!G29</f>
        <v>116.44899999999998</v>
      </c>
      <c r="H29" s="54">
        <f>апр!H29+май!H29+июнь!H29</f>
        <v>425.381</v>
      </c>
      <c r="I29" s="26">
        <f t="shared" si="1"/>
        <v>541.8299999999999</v>
      </c>
      <c r="J29" s="27">
        <f t="shared" si="2"/>
        <v>0.8215097001763667</v>
      </c>
      <c r="K29" s="27">
        <f t="shared" si="2"/>
        <v>0.8027874235676001</v>
      </c>
      <c r="L29" s="28">
        <f t="shared" si="2"/>
        <v>0.8067388294150052</v>
      </c>
      <c r="M29" s="55">
        <f>апр!M29+май!M29+июнь!M29</f>
        <v>181526.4</v>
      </c>
      <c r="N29" s="29">
        <f t="shared" si="3"/>
        <v>335.02463872432315</v>
      </c>
    </row>
    <row r="30" spans="1:14" ht="12.75">
      <c r="A30" s="31" t="s">
        <v>11</v>
      </c>
      <c r="B30" s="30"/>
      <c r="C30" s="30"/>
      <c r="D30" s="25">
        <f>апр!D30+май!D30+июнь!D30</f>
        <v>42.525</v>
      </c>
      <c r="E30" s="25">
        <f>апр!E30+май!E30+июнь!E30</f>
        <v>145.71699999999998</v>
      </c>
      <c r="F30" s="25">
        <f t="shared" si="0"/>
        <v>188.242</v>
      </c>
      <c r="G30" s="54">
        <f>апр!G30+май!G30+июнь!G30</f>
        <v>40.181999999999995</v>
      </c>
      <c r="H30" s="54">
        <f>апр!H30+май!H30+июнь!H30</f>
        <v>140.965</v>
      </c>
      <c r="I30" s="26">
        <f t="shared" si="1"/>
        <v>181.147</v>
      </c>
      <c r="J30" s="27">
        <f t="shared" si="2"/>
        <v>0.9449029982363315</v>
      </c>
      <c r="K30" s="27">
        <f t="shared" si="2"/>
        <v>0.9673888427568508</v>
      </c>
      <c r="L30" s="28">
        <f t="shared" si="2"/>
        <v>0.9623091552363447</v>
      </c>
      <c r="M30" s="55">
        <f>апр!M30+май!M30+июнь!M30</f>
        <v>32425.28</v>
      </c>
      <c r="N30" s="29">
        <f t="shared" si="3"/>
        <v>178.99981782751027</v>
      </c>
    </row>
    <row r="31" spans="1:14" ht="12.75">
      <c r="A31" s="31" t="s">
        <v>12</v>
      </c>
      <c r="B31" s="30"/>
      <c r="C31" s="30"/>
      <c r="D31" s="25">
        <f>апр!D31+май!D31+июнь!D31</f>
        <v>18.9</v>
      </c>
      <c r="E31" s="25">
        <f>апр!E31+май!E31+июнь!E31</f>
        <v>79.482</v>
      </c>
      <c r="F31" s="25">
        <f t="shared" si="0"/>
        <v>98.382</v>
      </c>
      <c r="G31" s="54">
        <f>апр!G31+май!G31+июнь!G31</f>
        <v>17.064</v>
      </c>
      <c r="H31" s="54">
        <f>апр!H31+май!H31+июнь!H31</f>
        <v>76.066</v>
      </c>
      <c r="I31" s="26">
        <f t="shared" si="1"/>
        <v>93.13</v>
      </c>
      <c r="J31" s="27">
        <f t="shared" si="2"/>
        <v>0.9028571428571429</v>
      </c>
      <c r="K31" s="27">
        <f t="shared" si="2"/>
        <v>0.9570217156085655</v>
      </c>
      <c r="L31" s="28">
        <f t="shared" si="2"/>
        <v>0.9466162509402125</v>
      </c>
      <c r="M31" s="55">
        <f>апр!M31+май!M31+июнь!M31</f>
        <v>37155.88</v>
      </c>
      <c r="N31" s="29">
        <f t="shared" si="3"/>
        <v>398.96789434124344</v>
      </c>
    </row>
    <row r="32" spans="1:14" ht="12.75">
      <c r="A32" s="31" t="s">
        <v>13</v>
      </c>
      <c r="B32" s="30"/>
      <c r="C32" s="30"/>
      <c r="D32" s="25">
        <f>апр!D32+май!D32+июнь!D32</f>
        <v>4725</v>
      </c>
      <c r="E32" s="25">
        <f>апр!E32+май!E32+июнь!E32</f>
        <v>13247</v>
      </c>
      <c r="F32" s="25">
        <f t="shared" si="0"/>
        <v>17972</v>
      </c>
      <c r="G32" s="54">
        <f>апр!G32+май!G32+июнь!G32</f>
        <v>4355.1</v>
      </c>
      <c r="H32" s="54">
        <f>апр!H32+май!H32+июнь!H32</f>
        <v>11848.2</v>
      </c>
      <c r="I32" s="26">
        <f t="shared" si="1"/>
        <v>16203.300000000001</v>
      </c>
      <c r="J32" s="27">
        <f t="shared" si="2"/>
        <v>0.9217142857142858</v>
      </c>
      <c r="K32" s="27">
        <f t="shared" si="2"/>
        <v>0.894406280667321</v>
      </c>
      <c r="L32" s="28">
        <f t="shared" si="2"/>
        <v>0.9015858001335412</v>
      </c>
      <c r="M32" s="55">
        <f>апр!M32+май!M32+июнь!M32</f>
        <v>101644.5</v>
      </c>
      <c r="N32" s="29">
        <f t="shared" si="3"/>
        <v>6.273074003443742</v>
      </c>
    </row>
    <row r="33" spans="1:14" ht="12.75">
      <c r="A33" s="31" t="s">
        <v>14</v>
      </c>
      <c r="B33" s="30"/>
      <c r="C33" s="30"/>
      <c r="D33" s="25">
        <f>апр!D33+май!D33+июнь!D33</f>
        <v>118.125</v>
      </c>
      <c r="E33" s="25">
        <f>апр!E33+май!E33+июнь!E33</f>
        <v>384.163</v>
      </c>
      <c r="F33" s="25">
        <f t="shared" si="0"/>
        <v>502.288</v>
      </c>
      <c r="G33" s="54">
        <f>апр!G33+май!G33+июнь!G33</f>
        <v>103.50999999999999</v>
      </c>
      <c r="H33" s="54">
        <f>апр!H33+май!H33+июнь!H33</f>
        <v>364.601</v>
      </c>
      <c r="I33" s="26">
        <f t="shared" si="1"/>
        <v>468.111</v>
      </c>
      <c r="J33" s="27">
        <f t="shared" si="2"/>
        <v>0.8762751322751322</v>
      </c>
      <c r="K33" s="27">
        <f t="shared" si="2"/>
        <v>0.9490789066099546</v>
      </c>
      <c r="L33" s="28">
        <f t="shared" si="2"/>
        <v>0.931957363106425</v>
      </c>
      <c r="M33" s="55">
        <f>апр!M33+май!M33+июнь!M33</f>
        <v>11760</v>
      </c>
      <c r="N33" s="29">
        <f t="shared" si="3"/>
        <v>25.122246646628685</v>
      </c>
    </row>
    <row r="34" spans="1:14" ht="12.75">
      <c r="A34" s="31" t="s">
        <v>15</v>
      </c>
      <c r="B34" s="30"/>
      <c r="C34" s="30"/>
      <c r="D34" s="25">
        <f>апр!D34+май!D34+июнь!D34</f>
        <v>141.75</v>
      </c>
      <c r="E34" s="25">
        <f>апр!E34+май!E34+июнь!E34</f>
        <v>569.621</v>
      </c>
      <c r="F34" s="25">
        <f t="shared" si="0"/>
        <v>711.371</v>
      </c>
      <c r="G34" s="54">
        <f>апр!G34+май!G34+июнь!G34</f>
        <v>163.361</v>
      </c>
      <c r="H34" s="54">
        <f>апр!H34+май!H34+июнь!H34</f>
        <v>576.839</v>
      </c>
      <c r="I34" s="26">
        <f t="shared" si="1"/>
        <v>740.2</v>
      </c>
      <c r="J34" s="27">
        <f t="shared" si="2"/>
        <v>1.152458553791887</v>
      </c>
      <c r="K34" s="27">
        <f t="shared" si="2"/>
        <v>1.0126715833861464</v>
      </c>
      <c r="L34" s="28">
        <f t="shared" si="2"/>
        <v>1.0405259702743015</v>
      </c>
      <c r="M34" s="55">
        <f>апр!M34+май!M34+июнь!M34</f>
        <v>37661.7</v>
      </c>
      <c r="N34" s="29">
        <f t="shared" si="3"/>
        <v>50.88043771953525</v>
      </c>
    </row>
    <row r="35" spans="1:14" ht="12.75">
      <c r="A35" s="31" t="s">
        <v>16</v>
      </c>
      <c r="B35" s="30"/>
      <c r="C35" s="30"/>
      <c r="D35" s="25">
        <f>апр!D35+май!D35+июнь!D35</f>
        <v>37.8</v>
      </c>
      <c r="E35" s="25">
        <f>апр!E35+май!E35+июнь!E35</f>
        <v>158.964</v>
      </c>
      <c r="F35" s="25">
        <f t="shared" si="0"/>
        <v>196.764</v>
      </c>
      <c r="G35" s="54">
        <f>апр!G35+май!G35+июнь!G35</f>
        <v>50.727000000000004</v>
      </c>
      <c r="H35" s="54">
        <f>апр!H35+май!H35+июнь!H35</f>
        <v>168.178</v>
      </c>
      <c r="I35" s="26">
        <f t="shared" si="1"/>
        <v>218.905</v>
      </c>
      <c r="J35" s="27">
        <f t="shared" si="2"/>
        <v>1.3419841269841273</v>
      </c>
      <c r="K35" s="27">
        <f t="shared" si="2"/>
        <v>1.057962809189502</v>
      </c>
      <c r="L35" s="28">
        <f t="shared" si="2"/>
        <v>1.112525665263971</v>
      </c>
      <c r="M35" s="55">
        <f>апр!M35+май!M35+июнь!M35</f>
        <v>9490.869999999999</v>
      </c>
      <c r="N35" s="29">
        <f t="shared" si="3"/>
        <v>43.35611338251753</v>
      </c>
    </row>
    <row r="36" spans="1:14" ht="12.75">
      <c r="A36" s="31" t="s">
        <v>17</v>
      </c>
      <c r="B36" s="30"/>
      <c r="C36" s="30"/>
      <c r="D36" s="25">
        <f>апр!D36+май!D36+июнь!D36</f>
        <v>118.125</v>
      </c>
      <c r="E36" s="25">
        <f>апр!E36+май!E36+июнь!E36</f>
        <v>397.41</v>
      </c>
      <c r="F36" s="25">
        <f t="shared" si="0"/>
        <v>515.5350000000001</v>
      </c>
      <c r="G36" s="54">
        <f>апр!G36+май!G36+июнь!G36</f>
        <v>92.312</v>
      </c>
      <c r="H36" s="54">
        <f>апр!H36+май!H36+июнь!H36</f>
        <v>342.625</v>
      </c>
      <c r="I36" s="26">
        <f t="shared" si="1"/>
        <v>434.937</v>
      </c>
      <c r="J36" s="27">
        <f t="shared" si="2"/>
        <v>0.7814772486772487</v>
      </c>
      <c r="K36" s="27">
        <f t="shared" si="2"/>
        <v>0.8621448881507762</v>
      </c>
      <c r="L36" s="28">
        <f t="shared" si="2"/>
        <v>0.8436614390875498</v>
      </c>
      <c r="M36" s="55">
        <f>апр!M36+май!M36+июнь!M36</f>
        <v>28109.76</v>
      </c>
      <c r="N36" s="29">
        <f t="shared" si="3"/>
        <v>64.62949806523703</v>
      </c>
    </row>
    <row r="37" spans="1:14" ht="12.75">
      <c r="A37" s="31" t="s">
        <v>18</v>
      </c>
      <c r="B37" s="30"/>
      <c r="C37" s="30"/>
      <c r="D37" s="25">
        <f>апр!D37+май!D37+июнь!D37</f>
        <v>56.7</v>
      </c>
      <c r="E37" s="25">
        <f>апр!E37+май!E37+июнь!E37</f>
        <v>264.94</v>
      </c>
      <c r="F37" s="25">
        <f t="shared" si="0"/>
        <v>321.64</v>
      </c>
      <c r="G37" s="54">
        <f>апр!G37+май!G37+июнь!G37</f>
        <v>45.591</v>
      </c>
      <c r="H37" s="54">
        <f>апр!H37+май!H37+июнь!H37</f>
        <v>141.731</v>
      </c>
      <c r="I37" s="26">
        <f t="shared" si="1"/>
        <v>187.322</v>
      </c>
      <c r="J37" s="27">
        <f t="shared" si="2"/>
        <v>0.804074074074074</v>
      </c>
      <c r="K37" s="27">
        <f t="shared" si="2"/>
        <v>0.5349550841700007</v>
      </c>
      <c r="L37" s="28">
        <f t="shared" si="2"/>
        <v>0.5823964681009824</v>
      </c>
      <c r="M37" s="55">
        <f>апр!M37+май!M37+июнь!M37</f>
        <v>20862.66</v>
      </c>
      <c r="N37" s="29">
        <f t="shared" si="3"/>
        <v>111.37325033898848</v>
      </c>
    </row>
    <row r="38" spans="1:14" ht="12.75">
      <c r="A38" s="31" t="s">
        <v>19</v>
      </c>
      <c r="B38" s="30"/>
      <c r="C38" s="30"/>
      <c r="D38" s="25">
        <f>апр!D38+май!D38+июнь!D38</f>
        <v>42.525</v>
      </c>
      <c r="E38" s="25">
        <f>апр!E38+май!E38+июнь!E38</f>
        <v>145.71699999999998</v>
      </c>
      <c r="F38" s="25">
        <f t="shared" si="0"/>
        <v>188.242</v>
      </c>
      <c r="G38" s="54">
        <f>апр!G38+май!G38+июнь!G38</f>
        <v>39.172</v>
      </c>
      <c r="H38" s="54">
        <f>апр!H38+май!H38+июнь!H38</f>
        <v>139.183</v>
      </c>
      <c r="I38" s="26">
        <f t="shared" si="1"/>
        <v>178.355</v>
      </c>
      <c r="J38" s="27">
        <f t="shared" si="2"/>
        <v>0.9211522633744855</v>
      </c>
      <c r="K38" s="27">
        <f t="shared" si="2"/>
        <v>0.9551596587906697</v>
      </c>
      <c r="L38" s="28">
        <f t="shared" si="2"/>
        <v>0.9474771836253334</v>
      </c>
      <c r="M38" s="55">
        <f>апр!M38+май!M38+июнь!M38</f>
        <v>20435.04</v>
      </c>
      <c r="N38" s="29">
        <f t="shared" si="3"/>
        <v>114.57508900787757</v>
      </c>
    </row>
    <row r="39" spans="1:14" ht="12.75">
      <c r="A39" s="31" t="s">
        <v>20</v>
      </c>
      <c r="B39" s="30"/>
      <c r="C39" s="30"/>
      <c r="D39" s="25">
        <f>апр!D39+май!D39+июнь!D39</f>
        <v>448.87499999999994</v>
      </c>
      <c r="E39" s="25">
        <f>апр!E39+май!E39+июнь!E39</f>
        <v>1324.7</v>
      </c>
      <c r="F39" s="25">
        <f t="shared" si="0"/>
        <v>1773.575</v>
      </c>
      <c r="G39" s="54">
        <f>апр!G39+май!G39+июнь!G39</f>
        <v>482.51599999999996</v>
      </c>
      <c r="H39" s="54">
        <f>апр!H39+май!H39+июнь!H39</f>
        <v>1395.806</v>
      </c>
      <c r="I39" s="26">
        <f t="shared" si="1"/>
        <v>1878.3220000000001</v>
      </c>
      <c r="J39" s="27">
        <f t="shared" si="2"/>
        <v>1.0749451406293513</v>
      </c>
      <c r="K39" s="27">
        <f t="shared" si="2"/>
        <v>1.053677058956745</v>
      </c>
      <c r="L39" s="28">
        <f t="shared" si="2"/>
        <v>1.0590598085787182</v>
      </c>
      <c r="M39" s="55">
        <f>апр!M39+май!M39+июнь!M39</f>
        <v>236222.68</v>
      </c>
      <c r="N39" s="29">
        <f t="shared" si="3"/>
        <v>125.76261152241202</v>
      </c>
    </row>
    <row r="40" spans="1:14" ht="12.75">
      <c r="A40" s="31" t="s">
        <v>21</v>
      </c>
      <c r="B40" s="30"/>
      <c r="C40" s="30"/>
      <c r="D40" s="25">
        <f>апр!D40+май!D40+июнь!D40</f>
        <v>472.5</v>
      </c>
      <c r="E40" s="25">
        <f>апр!E40+май!E40+июнь!E40</f>
        <v>1324.7</v>
      </c>
      <c r="F40" s="25">
        <f t="shared" si="0"/>
        <v>1797.2</v>
      </c>
      <c r="G40" s="54">
        <f>апр!G40+май!G40+июнь!G40</f>
        <v>422.4</v>
      </c>
      <c r="H40" s="54">
        <f>апр!H40+май!H40+июнь!H40</f>
        <v>1285.8</v>
      </c>
      <c r="I40" s="26">
        <f t="shared" si="1"/>
        <v>1708.1999999999998</v>
      </c>
      <c r="J40" s="27">
        <f t="shared" si="2"/>
        <v>0.893968253968254</v>
      </c>
      <c r="K40" s="27">
        <f t="shared" si="2"/>
        <v>0.9706348607231825</v>
      </c>
      <c r="L40" s="28">
        <f t="shared" si="2"/>
        <v>0.9504785221455596</v>
      </c>
      <c r="M40" s="55">
        <f>апр!M40+май!M40+июнь!M40</f>
        <v>93324.64</v>
      </c>
      <c r="N40" s="29">
        <f t="shared" si="3"/>
        <v>54.633321625102454</v>
      </c>
    </row>
    <row r="41" spans="1:14" ht="12.75">
      <c r="A41" s="31" t="s">
        <v>22</v>
      </c>
      <c r="B41" s="30"/>
      <c r="C41" s="30"/>
      <c r="D41" s="25">
        <f>апр!D41+май!D41+июнь!D41</f>
        <v>567</v>
      </c>
      <c r="E41" s="25">
        <f>апр!E41+май!E41+июнь!E41</f>
        <v>1854.5800000000004</v>
      </c>
      <c r="F41" s="25">
        <f t="shared" si="0"/>
        <v>2421.5800000000004</v>
      </c>
      <c r="G41" s="54">
        <f>апр!G41+май!G41+июнь!G41</f>
        <v>488.355</v>
      </c>
      <c r="H41" s="54">
        <f>апр!H41+май!H41+июнь!H41</f>
        <v>1707.5780000000002</v>
      </c>
      <c r="I41" s="26">
        <f t="shared" si="1"/>
        <v>2195.933</v>
      </c>
      <c r="J41" s="27">
        <f t="shared" si="2"/>
        <v>0.8612962962962963</v>
      </c>
      <c r="K41" s="27">
        <f t="shared" si="2"/>
        <v>0.9207356921782829</v>
      </c>
      <c r="L41" s="28">
        <f t="shared" si="2"/>
        <v>0.9068182756712558</v>
      </c>
      <c r="M41" s="55">
        <f>апр!M41+май!M41+июнь!M41</f>
        <v>80027.03</v>
      </c>
      <c r="N41" s="29">
        <f t="shared" si="3"/>
        <v>36.443293124152696</v>
      </c>
    </row>
    <row r="42" spans="1:14" ht="12.75">
      <c r="A42" s="31" t="s">
        <v>23</v>
      </c>
      <c r="B42" s="30"/>
      <c r="C42" s="30"/>
      <c r="D42" s="25">
        <f>апр!D42+май!D42+июнь!D42</f>
        <v>850.5</v>
      </c>
      <c r="E42" s="25">
        <f>апр!E42+май!E42+июнь!E42</f>
        <v>2914.34</v>
      </c>
      <c r="F42" s="25">
        <f t="shared" si="0"/>
        <v>3764.84</v>
      </c>
      <c r="G42" s="54">
        <f>апр!G42+май!G42+июнь!G42</f>
        <v>753.607</v>
      </c>
      <c r="H42" s="54">
        <f>апр!H42+май!H42+июнь!H42</f>
        <v>2683.9390000000003</v>
      </c>
      <c r="I42" s="26">
        <f t="shared" si="1"/>
        <v>3437.5460000000003</v>
      </c>
      <c r="J42" s="27">
        <f t="shared" si="2"/>
        <v>0.8860752498530275</v>
      </c>
      <c r="K42" s="27">
        <f t="shared" si="2"/>
        <v>0.9209423059766534</v>
      </c>
      <c r="L42" s="28">
        <f t="shared" si="2"/>
        <v>0.9130656282869923</v>
      </c>
      <c r="M42" s="55">
        <f>апр!M42+май!M42+июнь!M42</f>
        <v>195146.96000000002</v>
      </c>
      <c r="N42" s="29">
        <f t="shared" si="3"/>
        <v>56.769265051289494</v>
      </c>
    </row>
    <row r="43" spans="1:14" ht="12.75">
      <c r="A43" s="31" t="s">
        <v>24</v>
      </c>
      <c r="B43" s="30"/>
      <c r="C43" s="30"/>
      <c r="D43" s="25">
        <f>апр!D43+май!D43+июнь!D43</f>
        <v>189</v>
      </c>
      <c r="E43" s="25">
        <f>апр!E43+май!E43+июнь!E43</f>
        <v>662.35</v>
      </c>
      <c r="F43" s="25">
        <f t="shared" si="0"/>
        <v>851.35</v>
      </c>
      <c r="G43" s="54">
        <f>апр!G43+май!G43+июнь!G43</f>
        <v>189.173</v>
      </c>
      <c r="H43" s="54">
        <f>апр!H43+май!H43+июнь!H43</f>
        <v>598.9110000000001</v>
      </c>
      <c r="I43" s="26">
        <f t="shared" si="1"/>
        <v>788.0840000000001</v>
      </c>
      <c r="J43" s="27">
        <f t="shared" si="2"/>
        <v>1.000915343915344</v>
      </c>
      <c r="K43" s="27">
        <f t="shared" si="2"/>
        <v>0.9042213331320299</v>
      </c>
      <c r="L43" s="28">
        <f t="shared" si="2"/>
        <v>0.9256874375991073</v>
      </c>
      <c r="M43" s="55">
        <f>апр!M43+май!M43+июнь!M43</f>
        <v>43830.33</v>
      </c>
      <c r="N43" s="29">
        <f t="shared" si="3"/>
        <v>55.616317549905844</v>
      </c>
    </row>
    <row r="44" spans="1:14" ht="12.75">
      <c r="A44" s="32" t="s">
        <v>25</v>
      </c>
      <c r="B44" s="30"/>
      <c r="C44" s="30"/>
      <c r="D44" s="25">
        <f>апр!D44+май!D44+июнь!D44</f>
        <v>283.5</v>
      </c>
      <c r="E44" s="25">
        <f>апр!E44+май!E44+июнь!E44</f>
        <v>1059.76</v>
      </c>
      <c r="F44" s="25">
        <f>D44+E44</f>
        <v>1343.26</v>
      </c>
      <c r="G44" s="54">
        <f>апр!G44+май!G44+июнь!G44</f>
        <v>272.05600000000004</v>
      </c>
      <c r="H44" s="54">
        <f>апр!H44+май!H44+июнь!H44</f>
        <v>901.992</v>
      </c>
      <c r="I44" s="26">
        <f>G44+H44</f>
        <v>1174.048</v>
      </c>
      <c r="J44" s="27">
        <f t="shared" si="2"/>
        <v>0.9596331569664904</v>
      </c>
      <c r="K44" s="27">
        <f t="shared" si="2"/>
        <v>0.8511285574092247</v>
      </c>
      <c r="L44" s="28">
        <f t="shared" si="2"/>
        <v>0.8740288551732353</v>
      </c>
      <c r="M44" s="55">
        <f>апр!M44+май!M44+июнь!M44</f>
        <v>84284.57</v>
      </c>
      <c r="N44" s="29">
        <f>IF(I44&gt;0,M44/I44,0)</f>
        <v>71.78971387881927</v>
      </c>
    </row>
    <row r="45" spans="1:14" s="20" customFormat="1" ht="12.75">
      <c r="A45" s="44" t="s">
        <v>54</v>
      </c>
      <c r="B45" s="45"/>
      <c r="C45" s="45"/>
      <c r="D45" s="46">
        <f>SUM(D22:D44)</f>
        <v>10801.35</v>
      </c>
      <c r="E45" s="46">
        <f>SUM(E22:E44)</f>
        <v>33316.205</v>
      </c>
      <c r="F45" s="46">
        <f>D45+E45</f>
        <v>44117.555</v>
      </c>
      <c r="G45" s="54">
        <f>апр!G45+май!G45+июнь!G45</f>
        <v>9882.066</v>
      </c>
      <c r="H45" s="54">
        <f>апр!H45+май!H45+июнь!H45</f>
        <v>30306.508</v>
      </c>
      <c r="I45" s="47">
        <f>G45+H45</f>
        <v>40188.574</v>
      </c>
      <c r="J45" s="59">
        <f>IF(G45&gt;0,G45/D45,0)</f>
        <v>0.9148917496424058</v>
      </c>
      <c r="K45" s="59">
        <f>IF(E45&gt;0,H45/E45,0)</f>
        <v>0.9096626701630632</v>
      </c>
      <c r="L45" s="59">
        <f>IF(F45&gt;0,I45/F45,0)</f>
        <v>0.9109429115008754</v>
      </c>
      <c r="M45" s="57">
        <f>SUM(SUM(M22:M44))</f>
        <v>2528383.9499999993</v>
      </c>
      <c r="N45" s="60"/>
    </row>
    <row r="46" ht="13.5" thickBot="1"/>
    <row r="47" spans="1:14" s="37" customFormat="1" ht="21" customHeight="1" thickBot="1">
      <c r="A47" s="33" t="s">
        <v>48</v>
      </c>
      <c r="B47" s="34">
        <f>SUM(B22:B24)</f>
        <v>0</v>
      </c>
      <c r="C47" s="34">
        <f>SUM(C22:C24)</f>
        <v>0</v>
      </c>
      <c r="D47" s="35">
        <f aca="true" t="shared" si="4" ref="D47:I47">SUM(D22:D24)</f>
        <v>425.25</v>
      </c>
      <c r="E47" s="35">
        <f t="shared" si="4"/>
        <v>1377.6879999999999</v>
      </c>
      <c r="F47" s="35">
        <f t="shared" si="4"/>
        <v>1802.9379999999999</v>
      </c>
      <c r="G47" s="35">
        <f t="shared" si="4"/>
        <v>397.23199999999997</v>
      </c>
      <c r="H47" s="35">
        <f t="shared" si="4"/>
        <v>1341.89</v>
      </c>
      <c r="I47" s="35">
        <f t="shared" si="4"/>
        <v>1739.122</v>
      </c>
      <c r="J47" s="61">
        <f>IF(G47=0,0,G47/D47)</f>
        <v>0.934114050558495</v>
      </c>
      <c r="K47" s="61">
        <f>IF(H47=0,0,H47/E47)</f>
        <v>0.9740158874868622</v>
      </c>
      <c r="L47" s="61">
        <f>IF(I47&gt;0,I47/F47,0)</f>
        <v>0.9646044400861262</v>
      </c>
      <c r="M47" s="58">
        <f>SUM(M22:M24)</f>
        <v>486629.66</v>
      </c>
      <c r="N47" s="36">
        <f>IF(M47=0,0,M47/I47)</f>
        <v>279.8134115950462</v>
      </c>
    </row>
  </sheetData>
  <sheetProtection password="CC53" sheet="1" formatCells="0" formatColumns="0" formatRows="0" insertColumns="0" insertRows="0" insertHyperlinks="0" deleteColumns="0" deleteRows="0" sort="0" autoFilter="0" pivotTables="0"/>
  <mergeCells count="19">
    <mergeCell ref="M20:M21"/>
    <mergeCell ref="E2:G2"/>
    <mergeCell ref="A15:B15"/>
    <mergeCell ref="L15:M15"/>
    <mergeCell ref="C8:C10"/>
    <mergeCell ref="D8:F10"/>
    <mergeCell ref="A11:B11"/>
    <mergeCell ref="L13:N13"/>
    <mergeCell ref="L14:M14"/>
    <mergeCell ref="A1:G1"/>
    <mergeCell ref="L16:M16"/>
    <mergeCell ref="L17:M17"/>
    <mergeCell ref="A19:N19"/>
    <mergeCell ref="A20:A21"/>
    <mergeCell ref="B20:C20"/>
    <mergeCell ref="D20:F20"/>
    <mergeCell ref="G20:I20"/>
    <mergeCell ref="N20:N21"/>
    <mergeCell ref="J20:L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6">
      <selection activeCell="L31" sqref="L31"/>
    </sheetView>
  </sheetViews>
  <sheetFormatPr defaultColWidth="9.125" defaultRowHeight="12.75"/>
  <cols>
    <col min="1" max="1" width="44.125" style="2" customWidth="1"/>
    <col min="2" max="2" width="13.875" style="2" customWidth="1"/>
    <col min="3" max="3" width="12.125" style="2" customWidth="1"/>
    <col min="4" max="11" width="11.375" style="2" customWidth="1"/>
    <col min="12" max="12" width="12.375" style="2" customWidth="1"/>
    <col min="13" max="13" width="14.375" style="2" customWidth="1"/>
    <col min="14" max="14" width="12.625" style="2" customWidth="1"/>
    <col min="15" max="16" width="14.875" style="2" customWidth="1"/>
    <col min="17" max="16384" width="9.125" style="2" customWidth="1"/>
  </cols>
  <sheetData>
    <row r="1" spans="1:14" ht="17.25">
      <c r="A1" s="171" t="s">
        <v>93</v>
      </c>
      <c r="B1" s="171"/>
      <c r="C1" s="171"/>
      <c r="D1" s="171"/>
      <c r="E1" s="171"/>
      <c r="F1" s="171"/>
      <c r="G1" s="171"/>
      <c r="H1" s="119">
        <f>янв!H1</f>
        <v>2023</v>
      </c>
      <c r="I1" s="1" t="s">
        <v>75</v>
      </c>
      <c r="J1" s="1"/>
      <c r="K1" s="1"/>
      <c r="L1" s="1"/>
      <c r="M1" s="1"/>
      <c r="N1" s="1"/>
    </row>
    <row r="2" spans="1:7" ht="12.75">
      <c r="A2" s="3" t="s">
        <v>26</v>
      </c>
      <c r="B2" s="52"/>
      <c r="E2" s="183" t="s">
        <v>55</v>
      </c>
      <c r="F2" s="183"/>
      <c r="G2" s="183"/>
    </row>
    <row r="3" spans="1:2" ht="12.75">
      <c r="A3" s="3" t="s">
        <v>0</v>
      </c>
      <c r="B3" s="52"/>
    </row>
    <row r="4" spans="1:2" ht="12.75">
      <c r="A4" s="4" t="s">
        <v>30</v>
      </c>
      <c r="B4" s="53">
        <f>янв!B4</f>
        <v>448</v>
      </c>
    </row>
    <row r="5" spans="1:2" ht="12.75">
      <c r="A5" s="5" t="s">
        <v>28</v>
      </c>
      <c r="B5" s="140">
        <f>B6+B7</f>
        <v>34374</v>
      </c>
    </row>
    <row r="6" spans="1:2" ht="12.75">
      <c r="A6" s="6" t="s">
        <v>27</v>
      </c>
      <c r="B6" s="141">
        <f>SUM(янв:июнь!B6)</f>
        <v>8795</v>
      </c>
    </row>
    <row r="7" spans="1:2" ht="13.5" thickBot="1">
      <c r="A7" s="7" t="s">
        <v>29</v>
      </c>
      <c r="B7" s="143">
        <f>SUM(янв:июнь!B7)</f>
        <v>25579</v>
      </c>
    </row>
    <row r="8" spans="1:6" ht="12.75">
      <c r="A8" s="8" t="s">
        <v>31</v>
      </c>
      <c r="B8" s="142">
        <f>SUM(янв:июнь!B8)</f>
        <v>4688349.2700000005</v>
      </c>
      <c r="C8" s="184"/>
      <c r="D8" s="205"/>
      <c r="E8" s="183"/>
      <c r="F8" s="183"/>
    </row>
    <row r="9" spans="1:6" ht="12.75">
      <c r="A9" s="9" t="s">
        <v>32</v>
      </c>
      <c r="B9" s="129">
        <f>SUM(янв:июнь!B9)</f>
        <v>4657871.56</v>
      </c>
      <c r="C9" s="184"/>
      <c r="D9" s="187"/>
      <c r="E9" s="183"/>
      <c r="F9" s="183"/>
    </row>
    <row r="10" spans="1:6" ht="13.5" thickBot="1">
      <c r="A10" s="11" t="s">
        <v>33</v>
      </c>
      <c r="B10" s="130">
        <f>B8-B9</f>
        <v>30477.710000000894</v>
      </c>
      <c r="C10" s="184"/>
      <c r="D10" s="187"/>
      <c r="E10" s="183"/>
      <c r="F10" s="183"/>
    </row>
    <row r="11" spans="1:3" ht="12.75">
      <c r="A11" s="185" t="s">
        <v>40</v>
      </c>
      <c r="B11" s="185"/>
      <c r="C11" s="12"/>
    </row>
    <row r="12" spans="1:14" ht="12.75">
      <c r="A12" s="3" t="s">
        <v>34</v>
      </c>
      <c r="B12" s="13">
        <v>131</v>
      </c>
      <c r="C12" s="12"/>
      <c r="K12" s="155"/>
      <c r="L12" s="155"/>
      <c r="M12" s="155"/>
      <c r="N12" s="155"/>
    </row>
    <row r="13" spans="1:14" ht="12.75" customHeight="1">
      <c r="A13" s="3" t="s">
        <v>2</v>
      </c>
      <c r="B13" s="131">
        <f>IF(M45&gt;0,B8/B5,0)</f>
        <v>136.39231017629606</v>
      </c>
      <c r="C13" s="12"/>
      <c r="K13" s="155"/>
      <c r="L13" s="176" t="s">
        <v>49</v>
      </c>
      <c r="M13" s="176"/>
      <c r="N13" s="176"/>
    </row>
    <row r="14" spans="1:14" ht="12.75" customHeight="1">
      <c r="A14" s="14" t="s">
        <v>3</v>
      </c>
      <c r="B14" s="15">
        <f>B13/B12</f>
        <v>1.0411626731014967</v>
      </c>
      <c r="E14" s="42"/>
      <c r="K14" s="155"/>
      <c r="L14" s="177" t="s">
        <v>50</v>
      </c>
      <c r="M14" s="177"/>
      <c r="N14" s="41">
        <v>2</v>
      </c>
    </row>
    <row r="15" spans="1:14" ht="12.75" customHeight="1">
      <c r="A15" s="182" t="s">
        <v>41</v>
      </c>
      <c r="B15" s="182"/>
      <c r="C15" s="12"/>
      <c r="E15" s="43"/>
      <c r="K15" s="155"/>
      <c r="L15" s="177" t="s">
        <v>53</v>
      </c>
      <c r="M15" s="177"/>
      <c r="N15" s="41">
        <v>1.25</v>
      </c>
    </row>
    <row r="16" spans="1:14" ht="12.75" customHeight="1">
      <c r="A16" s="3" t="s">
        <v>42</v>
      </c>
      <c r="B16" s="16">
        <f>J45</f>
        <v>0.9083361808312901</v>
      </c>
      <c r="C16" s="12"/>
      <c r="K16" s="155"/>
      <c r="L16" s="177" t="s">
        <v>52</v>
      </c>
      <c r="M16" s="177"/>
      <c r="N16" s="41">
        <v>2.63</v>
      </c>
    </row>
    <row r="17" spans="1:14" ht="13.5" customHeight="1" thickBot="1">
      <c r="A17" s="3" t="s">
        <v>43</v>
      </c>
      <c r="B17" s="17">
        <f>K45</f>
        <v>0.9160962758575021</v>
      </c>
      <c r="C17" s="12"/>
      <c r="K17" s="155"/>
      <c r="L17" s="177" t="s">
        <v>51</v>
      </c>
      <c r="M17" s="177"/>
      <c r="N17" s="41">
        <v>8.33</v>
      </c>
    </row>
    <row r="18" spans="1:3" ht="18" thickBot="1">
      <c r="A18" s="18" t="s">
        <v>44</v>
      </c>
      <c r="B18" s="19">
        <f>L45</f>
        <v>0.9142485029144072</v>
      </c>
      <c r="C18" s="12"/>
    </row>
    <row r="19" spans="1:16" ht="21">
      <c r="A19" s="174" t="s">
        <v>1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P19" s="168"/>
    </row>
    <row r="20" spans="1:16" s="20" customFormat="1" ht="12.75">
      <c r="A20" s="186"/>
      <c r="B20" s="179" t="s">
        <v>37</v>
      </c>
      <c r="C20" s="179"/>
      <c r="D20" s="178" t="s">
        <v>38</v>
      </c>
      <c r="E20" s="178"/>
      <c r="F20" s="179"/>
      <c r="G20" s="178" t="s">
        <v>39</v>
      </c>
      <c r="H20" s="179"/>
      <c r="I20" s="179"/>
      <c r="J20" s="180" t="s">
        <v>4</v>
      </c>
      <c r="K20" s="181"/>
      <c r="L20" s="181"/>
      <c r="M20" s="172" t="s">
        <v>46</v>
      </c>
      <c r="N20" s="172" t="s">
        <v>47</v>
      </c>
      <c r="P20" s="169"/>
    </row>
    <row r="21" spans="1:16" s="20" customFormat="1" ht="12.75" hidden="1">
      <c r="A21" s="186"/>
      <c r="B21" s="48" t="s">
        <v>27</v>
      </c>
      <c r="C21" s="48" t="s">
        <v>29</v>
      </c>
      <c r="D21" s="21" t="s">
        <v>27</v>
      </c>
      <c r="E21" s="21" t="s">
        <v>29</v>
      </c>
      <c r="F21" s="21" t="s">
        <v>5</v>
      </c>
      <c r="G21" s="21" t="s">
        <v>27</v>
      </c>
      <c r="H21" s="21" t="s">
        <v>29</v>
      </c>
      <c r="I21" s="21" t="s">
        <v>5</v>
      </c>
      <c r="J21" s="21" t="s">
        <v>27</v>
      </c>
      <c r="K21" s="21" t="s">
        <v>29</v>
      </c>
      <c r="L21" s="22" t="s">
        <v>45</v>
      </c>
      <c r="M21" s="173"/>
      <c r="N21" s="173"/>
      <c r="P21" s="169"/>
    </row>
    <row r="22" spans="1:16" ht="12.75">
      <c r="A22" s="23" t="s">
        <v>6</v>
      </c>
      <c r="B22" s="30"/>
      <c r="C22" s="30"/>
      <c r="D22" s="25">
        <f>'1 кв'!D22+'2 кв'!D22</f>
        <v>439.75</v>
      </c>
      <c r="E22" s="25">
        <f>'1 кв'!E22+'2 кв'!E22</f>
        <v>1406.845</v>
      </c>
      <c r="F22" s="25">
        <f>D22+E22</f>
        <v>1846.595</v>
      </c>
      <c r="G22" s="54">
        <f>'1 кв'!G22+'2 кв'!G22</f>
        <v>402.28999999999996</v>
      </c>
      <c r="H22" s="54">
        <f>'1 кв'!H22+'2 кв'!H22</f>
        <v>1459.339</v>
      </c>
      <c r="I22" s="26">
        <f>G22+H22</f>
        <v>1861.629</v>
      </c>
      <c r="J22" s="27">
        <f>IF(G22&gt;0,G22/D22,0)</f>
        <v>0.9148152359295053</v>
      </c>
      <c r="K22" s="27">
        <f>IF(H22&gt;0,H22/E22,0)</f>
        <v>1.037313279003728</v>
      </c>
      <c r="L22" s="28">
        <f>IF(I22&gt;0,I22/F22,0)</f>
        <v>1.008141471194279</v>
      </c>
      <c r="M22" s="55">
        <f>'1 кв'!M22+'2 кв'!M22</f>
        <v>573787.06</v>
      </c>
      <c r="N22" s="29">
        <f>IF(I22&gt;0,M22/I22,0)</f>
        <v>308.2177275923399</v>
      </c>
      <c r="P22" s="168"/>
    </row>
    <row r="23" spans="1:16" ht="12.75">
      <c r="A23" s="23" t="s">
        <v>7</v>
      </c>
      <c r="B23" s="30"/>
      <c r="C23" s="30"/>
      <c r="D23" s="25">
        <f>'1 кв'!D23+'2 кв'!D23</f>
        <v>175.9</v>
      </c>
      <c r="E23" s="25">
        <f>'1 кв'!E23+'2 кв'!E23</f>
        <v>613.896</v>
      </c>
      <c r="F23" s="25">
        <f aca="true" t="shared" si="0" ref="F23:F43">D23+E23</f>
        <v>789.7959999999999</v>
      </c>
      <c r="G23" s="54">
        <f>'1 кв'!G23+'2 кв'!G23</f>
        <v>167.66700000000003</v>
      </c>
      <c r="H23" s="54">
        <f>'1 кв'!H23+'2 кв'!H23</f>
        <v>572.779</v>
      </c>
      <c r="I23" s="26">
        <f aca="true" t="shared" si="1" ref="I23:I43">G23+H23</f>
        <v>740.446</v>
      </c>
      <c r="J23" s="27">
        <f aca="true" t="shared" si="2" ref="J23:L44">IF(D23&gt;0,G23/D23,0)</f>
        <v>0.953194997157476</v>
      </c>
      <c r="K23" s="27">
        <f t="shared" si="2"/>
        <v>0.9330228572917889</v>
      </c>
      <c r="L23" s="28">
        <f t="shared" si="2"/>
        <v>0.9375155103343142</v>
      </c>
      <c r="M23" s="55">
        <f>'1 кв'!M23+'2 кв'!M23</f>
        <v>180888.92</v>
      </c>
      <c r="N23" s="29">
        <f aca="true" t="shared" si="3" ref="N23:N43">IF(I23&gt;0,M23/I23,0)</f>
        <v>244.29724787492944</v>
      </c>
      <c r="P23" s="168"/>
    </row>
    <row r="24" spans="1:16" ht="12.75">
      <c r="A24" s="23" t="s">
        <v>97</v>
      </c>
      <c r="B24" s="30"/>
      <c r="C24" s="30"/>
      <c r="D24" s="25">
        <f>'1 кв'!D24+'2 кв'!D24</f>
        <v>175.9</v>
      </c>
      <c r="E24" s="25">
        <f>'1 кв'!E24+'2 кв'!E24</f>
        <v>639.475</v>
      </c>
      <c r="F24" s="25">
        <f>D24+E24</f>
        <v>815.375</v>
      </c>
      <c r="G24" s="54">
        <f>'1 кв'!G24+'2 кв'!G24</f>
        <v>148.141</v>
      </c>
      <c r="H24" s="54">
        <f>'1 кв'!H24+'2 кв'!H24</f>
        <v>511.585</v>
      </c>
      <c r="I24" s="26">
        <f>G24+H24</f>
        <v>659.726</v>
      </c>
      <c r="J24" s="27">
        <f>IF(D24&gt;0,G24/D24,0)</f>
        <v>0.8421887436043206</v>
      </c>
      <c r="K24" s="27">
        <f>IF(E24&gt;0,H24/E24,0)</f>
        <v>0.8000078189139528</v>
      </c>
      <c r="L24" s="28">
        <f>IF(F24&gt;0,I24/F24,0)</f>
        <v>0.809107465889928</v>
      </c>
      <c r="M24" s="55">
        <f>'1 кв'!M24+'2 кв'!M24</f>
        <v>182598.58</v>
      </c>
      <c r="N24" s="29">
        <f>IF(I24&gt;0,M24/I24,0)</f>
        <v>276.7794205473181</v>
      </c>
      <c r="P24" s="168"/>
    </row>
    <row r="25" spans="1:16" ht="12.75">
      <c r="A25" s="31" t="s">
        <v>8</v>
      </c>
      <c r="B25" s="30"/>
      <c r="C25" s="30"/>
      <c r="D25" s="25">
        <f>'1 кв'!D25+'2 кв'!D25</f>
        <v>281.44</v>
      </c>
      <c r="E25" s="25">
        <f>'1 кв'!E25+'2 кв'!E25</f>
        <v>946.423</v>
      </c>
      <c r="F25" s="25">
        <f t="shared" si="0"/>
        <v>1227.863</v>
      </c>
      <c r="G25" s="54">
        <f>'1 кв'!G25+'2 кв'!G25</f>
        <v>239.587</v>
      </c>
      <c r="H25" s="54">
        <f>'1 кв'!H25+'2 кв'!H25</f>
        <v>796.8340000000001</v>
      </c>
      <c r="I25" s="26">
        <f t="shared" si="1"/>
        <v>1036.421</v>
      </c>
      <c r="J25" s="27">
        <f t="shared" si="2"/>
        <v>0.8512897953382603</v>
      </c>
      <c r="K25" s="27">
        <f t="shared" si="2"/>
        <v>0.8419427676630852</v>
      </c>
      <c r="L25" s="28">
        <f t="shared" si="2"/>
        <v>0.8440852114608878</v>
      </c>
      <c r="M25" s="55">
        <f>'1 кв'!M25+'2 кв'!M25</f>
        <v>231306.43</v>
      </c>
      <c r="N25" s="29">
        <f t="shared" si="3"/>
        <v>223.17806181078922</v>
      </c>
      <c r="P25" s="168"/>
    </row>
    <row r="26" spans="1:16" ht="12.75">
      <c r="A26" s="31" t="s">
        <v>35</v>
      </c>
      <c r="B26" s="30"/>
      <c r="C26" s="30"/>
      <c r="D26" s="25">
        <f>'1 кв'!D26+'2 кв'!D26</f>
        <v>158.31</v>
      </c>
      <c r="E26" s="25">
        <f>'1 кв'!E26+'2 кв'!E26</f>
        <v>537.159</v>
      </c>
      <c r="F26" s="25">
        <f t="shared" si="0"/>
        <v>695.469</v>
      </c>
      <c r="G26" s="54">
        <f>'1 кв'!G26+'2 кв'!G26</f>
        <v>160.14499999999998</v>
      </c>
      <c r="H26" s="54">
        <f>'1 кв'!H26+'2 кв'!H26</f>
        <v>529.921</v>
      </c>
      <c r="I26" s="26">
        <f t="shared" si="1"/>
        <v>690.066</v>
      </c>
      <c r="J26" s="27">
        <f t="shared" si="2"/>
        <v>1.011591181858379</v>
      </c>
      <c r="K26" s="27">
        <f t="shared" si="2"/>
        <v>0.9865254049545853</v>
      </c>
      <c r="L26" s="28">
        <f t="shared" si="2"/>
        <v>0.9922311418625417</v>
      </c>
      <c r="M26" s="55">
        <f>'1 кв'!M26+'2 кв'!M26</f>
        <v>452303.3</v>
      </c>
      <c r="N26" s="29">
        <f t="shared" si="3"/>
        <v>655.4493338318364</v>
      </c>
      <c r="P26" s="168"/>
    </row>
    <row r="27" spans="1:16" ht="12.75">
      <c r="A27" s="31" t="s">
        <v>36</v>
      </c>
      <c r="B27" s="30"/>
      <c r="C27" s="30"/>
      <c r="D27" s="25">
        <f>'1 кв'!D27+'2 кв'!D27</f>
        <v>79.155</v>
      </c>
      <c r="E27" s="25">
        <f>'1 кв'!E27+'2 кв'!E27</f>
        <v>281.36899999999997</v>
      </c>
      <c r="F27" s="25">
        <f t="shared" si="0"/>
        <v>360.524</v>
      </c>
      <c r="G27" s="54">
        <f>'1 кв'!G27+'2 кв'!G27</f>
        <v>71.296</v>
      </c>
      <c r="H27" s="54">
        <f>'1 кв'!H27+'2 кв'!H27</f>
        <v>285.056</v>
      </c>
      <c r="I27" s="26">
        <f t="shared" si="1"/>
        <v>356.352</v>
      </c>
      <c r="J27" s="27">
        <f t="shared" si="2"/>
        <v>0.9007137894005433</v>
      </c>
      <c r="K27" s="27">
        <f t="shared" si="2"/>
        <v>1.0131037889746206</v>
      </c>
      <c r="L27" s="28">
        <f t="shared" si="2"/>
        <v>0.9884279548656955</v>
      </c>
      <c r="M27" s="55">
        <f>'1 кв'!M27+'2 кв'!M27</f>
        <v>43660.44</v>
      </c>
      <c r="N27" s="29">
        <f t="shared" si="3"/>
        <v>122.52054148706898</v>
      </c>
      <c r="P27" s="168"/>
    </row>
    <row r="28" spans="1:16" ht="12.75">
      <c r="A28" s="32" t="s">
        <v>9</v>
      </c>
      <c r="B28" s="30"/>
      <c r="C28" s="30"/>
      <c r="D28" s="25">
        <f>'1 кв'!D28+'2 кв'!D28</f>
        <v>3430.05</v>
      </c>
      <c r="E28" s="25">
        <f>'1 кв'!E28+'2 кв'!E28</f>
        <v>11510.55</v>
      </c>
      <c r="F28" s="25">
        <f t="shared" si="0"/>
        <v>14940.599999999999</v>
      </c>
      <c r="G28" s="54">
        <f>'1 кв'!G28+'2 кв'!G28</f>
        <v>3060.469</v>
      </c>
      <c r="H28" s="54">
        <f>'1 кв'!H28+'2 кв'!H28</f>
        <v>10232.963</v>
      </c>
      <c r="I28" s="26">
        <f t="shared" si="1"/>
        <v>13293.432</v>
      </c>
      <c r="J28" s="27">
        <f t="shared" si="2"/>
        <v>0.8922520079882217</v>
      </c>
      <c r="K28" s="27">
        <f t="shared" si="2"/>
        <v>0.8890073019968637</v>
      </c>
      <c r="L28" s="28">
        <f t="shared" si="2"/>
        <v>0.8897522187863942</v>
      </c>
      <c r="M28" s="55">
        <f>'1 кв'!M28+'2 кв'!M28</f>
        <v>842770.21</v>
      </c>
      <c r="N28" s="29">
        <f t="shared" si="3"/>
        <v>63.39748907580826</v>
      </c>
      <c r="P28" s="168"/>
    </row>
    <row r="29" spans="1:16" ht="12.75">
      <c r="A29" s="31" t="s">
        <v>10</v>
      </c>
      <c r="B29" s="30"/>
      <c r="C29" s="30"/>
      <c r="D29" s="25">
        <f>'1 кв'!D29+'2 кв'!D29</f>
        <v>263.85</v>
      </c>
      <c r="E29" s="25">
        <f>'1 кв'!E29+'2 кв'!E29</f>
        <v>1023.1600000000001</v>
      </c>
      <c r="F29" s="25">
        <f t="shared" si="0"/>
        <v>1287.0100000000002</v>
      </c>
      <c r="G29" s="54">
        <f>'1 кв'!G29+'2 кв'!G29</f>
        <v>235.79399999999998</v>
      </c>
      <c r="H29" s="54">
        <f>'1 кв'!H29+'2 кв'!H29</f>
        <v>853.538</v>
      </c>
      <c r="I29" s="26">
        <f t="shared" si="1"/>
        <v>1089.3319999999999</v>
      </c>
      <c r="J29" s="27">
        <f t="shared" si="2"/>
        <v>0.8936668561682772</v>
      </c>
      <c r="K29" s="27">
        <f t="shared" si="2"/>
        <v>0.8342175221861683</v>
      </c>
      <c r="L29" s="28">
        <f t="shared" si="2"/>
        <v>0.8464052338365667</v>
      </c>
      <c r="M29" s="55">
        <f>'1 кв'!M29+'2 кв'!M29</f>
        <v>364953.6</v>
      </c>
      <c r="N29" s="29">
        <f t="shared" si="3"/>
        <v>335.0251346696875</v>
      </c>
      <c r="P29" s="168"/>
    </row>
    <row r="30" spans="1:16" ht="12.75">
      <c r="A30" s="31" t="s">
        <v>11</v>
      </c>
      <c r="B30" s="30"/>
      <c r="C30" s="30"/>
      <c r="D30" s="25">
        <f>'1 кв'!D30+'2 кв'!D30</f>
        <v>79.155</v>
      </c>
      <c r="E30" s="25">
        <f>'1 кв'!E30+'2 кв'!E30</f>
        <v>281.36899999999997</v>
      </c>
      <c r="F30" s="25">
        <f t="shared" si="0"/>
        <v>360.524</v>
      </c>
      <c r="G30" s="54">
        <f>'1 кв'!G30+'2 кв'!G30</f>
        <v>69.602</v>
      </c>
      <c r="H30" s="54">
        <f>'1 кв'!H30+'2 кв'!H30</f>
        <v>251.80599999999998</v>
      </c>
      <c r="I30" s="26">
        <f t="shared" si="1"/>
        <v>321.408</v>
      </c>
      <c r="J30" s="27">
        <f t="shared" si="2"/>
        <v>0.8793127408249637</v>
      </c>
      <c r="K30" s="27">
        <f t="shared" si="2"/>
        <v>0.8949315667326536</v>
      </c>
      <c r="L30" s="28">
        <f t="shared" si="2"/>
        <v>0.8915023687743396</v>
      </c>
      <c r="M30" s="55">
        <f>'1 кв'!M30+'2 кв'!M30</f>
        <v>57532.009999999995</v>
      </c>
      <c r="N30" s="29">
        <f t="shared" si="3"/>
        <v>178.9999315511748</v>
      </c>
      <c r="P30" s="168"/>
    </row>
    <row r="31" spans="1:16" ht="12.75">
      <c r="A31" s="31" t="s">
        <v>12</v>
      </c>
      <c r="B31" s="30"/>
      <c r="C31" s="30"/>
      <c r="D31" s="25">
        <f>'1 кв'!D31+'2 кв'!D31</f>
        <v>35.18</v>
      </c>
      <c r="E31" s="25">
        <f>'1 кв'!E31+'2 кв'!E31</f>
        <v>153.474</v>
      </c>
      <c r="F31" s="25">
        <f t="shared" si="0"/>
        <v>188.654</v>
      </c>
      <c r="G31" s="54">
        <f>'1 кв'!G31+'2 кв'!G31</f>
        <v>32.118</v>
      </c>
      <c r="H31" s="54">
        <f>'1 кв'!H31+'2 кв'!H31</f>
        <v>143.72899999999998</v>
      </c>
      <c r="I31" s="26">
        <f t="shared" si="1"/>
        <v>175.84699999999998</v>
      </c>
      <c r="J31" s="27">
        <f t="shared" si="2"/>
        <v>0.9129619101762365</v>
      </c>
      <c r="K31" s="27">
        <f t="shared" si="2"/>
        <v>0.9365039029412148</v>
      </c>
      <c r="L31" s="28">
        <f t="shared" si="2"/>
        <v>0.9321138168286915</v>
      </c>
      <c r="M31" s="55">
        <f>'1 кв'!M31+'2 кв'!M31</f>
        <v>72118.63</v>
      </c>
      <c r="N31" s="29">
        <f t="shared" si="3"/>
        <v>410.12146923177545</v>
      </c>
      <c r="P31" s="168"/>
    </row>
    <row r="32" spans="1:16" ht="12.75">
      <c r="A32" s="31" t="s">
        <v>13</v>
      </c>
      <c r="B32" s="30"/>
      <c r="C32" s="30"/>
      <c r="D32" s="25">
        <f>'1 кв'!D32+'2 кв'!D32</f>
        <v>8795</v>
      </c>
      <c r="E32" s="25">
        <f>'1 кв'!E32+'2 кв'!E32</f>
        <v>25579</v>
      </c>
      <c r="F32" s="25">
        <f t="shared" si="0"/>
        <v>34374</v>
      </c>
      <c r="G32" s="54">
        <f>'1 кв'!G32+'2 кв'!G32</f>
        <v>7946.5</v>
      </c>
      <c r="H32" s="54">
        <f>'1 кв'!H32+'2 кв'!H32</f>
        <v>23459.7</v>
      </c>
      <c r="I32" s="26">
        <f t="shared" si="1"/>
        <v>31406.2</v>
      </c>
      <c r="J32" s="27">
        <f t="shared" si="2"/>
        <v>0.9035247299602046</v>
      </c>
      <c r="K32" s="27">
        <f t="shared" si="2"/>
        <v>0.9171468782986043</v>
      </c>
      <c r="L32" s="28">
        <f t="shared" si="2"/>
        <v>0.9136614883342061</v>
      </c>
      <c r="M32" s="55">
        <f>'1 кв'!M32+'2 кв'!M32</f>
        <v>215666.13</v>
      </c>
      <c r="N32" s="29">
        <f t="shared" si="3"/>
        <v>6.866992186256217</v>
      </c>
      <c r="P32" s="168"/>
    </row>
    <row r="33" spans="1:16" ht="12.75">
      <c r="A33" s="31" t="s">
        <v>14</v>
      </c>
      <c r="B33" s="30"/>
      <c r="C33" s="30"/>
      <c r="D33" s="25">
        <f>'1 кв'!D33+'2 кв'!D33</f>
        <v>219.875</v>
      </c>
      <c r="E33" s="25">
        <f>'1 кв'!E33+'2 кв'!E33</f>
        <v>741.791</v>
      </c>
      <c r="F33" s="25">
        <f t="shared" si="0"/>
        <v>961.666</v>
      </c>
      <c r="G33" s="54">
        <f>'1 кв'!G33+'2 кв'!G33</f>
        <v>196.879</v>
      </c>
      <c r="H33" s="54">
        <f>'1 кв'!H33+'2 кв'!H33</f>
        <v>706.754</v>
      </c>
      <c r="I33" s="26">
        <f t="shared" si="1"/>
        <v>903.633</v>
      </c>
      <c r="J33" s="27">
        <f t="shared" si="2"/>
        <v>0.8954133030130755</v>
      </c>
      <c r="K33" s="27">
        <f t="shared" si="2"/>
        <v>0.9527670192817114</v>
      </c>
      <c r="L33" s="28">
        <f t="shared" si="2"/>
        <v>0.9396536843353097</v>
      </c>
      <c r="M33" s="55">
        <f>'1 кв'!M33+'2 кв'!M33</f>
        <v>24325.58</v>
      </c>
      <c r="N33" s="29">
        <f t="shared" si="3"/>
        <v>26.91975613993734</v>
      </c>
      <c r="P33" s="168"/>
    </row>
    <row r="34" spans="1:16" ht="12.75">
      <c r="A34" s="31" t="s">
        <v>15</v>
      </c>
      <c r="B34" s="30"/>
      <c r="C34" s="30"/>
      <c r="D34" s="25">
        <f>'1 кв'!D34+'2 кв'!D34</f>
        <v>263.85</v>
      </c>
      <c r="E34" s="25">
        <f>'1 кв'!E34+'2 кв'!E34</f>
        <v>1099.897</v>
      </c>
      <c r="F34" s="25">
        <f t="shared" si="0"/>
        <v>1363.7469999999998</v>
      </c>
      <c r="G34" s="54">
        <f>'1 кв'!G34+'2 кв'!G34</f>
        <v>291.734</v>
      </c>
      <c r="H34" s="54">
        <f>'1 кв'!H34+'2 кв'!H34</f>
        <v>1057.013</v>
      </c>
      <c r="I34" s="26">
        <f t="shared" si="1"/>
        <v>1348.7469999999998</v>
      </c>
      <c r="J34" s="27">
        <f t="shared" si="2"/>
        <v>1.1056812582906954</v>
      </c>
      <c r="K34" s="27">
        <f t="shared" si="2"/>
        <v>0.9610108946564997</v>
      </c>
      <c r="L34" s="28">
        <f t="shared" si="2"/>
        <v>0.9890008923942637</v>
      </c>
      <c r="M34" s="55">
        <f>'1 кв'!M34+'2 кв'!M34</f>
        <v>69178.73999999999</v>
      </c>
      <c r="N34" s="29">
        <f t="shared" si="3"/>
        <v>51.291116866246966</v>
      </c>
      <c r="P34" s="168"/>
    </row>
    <row r="35" spans="1:16" ht="12.75">
      <c r="A35" s="31" t="s">
        <v>16</v>
      </c>
      <c r="B35" s="30"/>
      <c r="C35" s="30"/>
      <c r="D35" s="25">
        <f>'1 кв'!D35+'2 кв'!D35</f>
        <v>70.36</v>
      </c>
      <c r="E35" s="25">
        <f>'1 кв'!E35+'2 кв'!E35</f>
        <v>306.948</v>
      </c>
      <c r="F35" s="25">
        <f t="shared" si="0"/>
        <v>377.308</v>
      </c>
      <c r="G35" s="54">
        <f>'1 кв'!G35+'2 кв'!G35</f>
        <v>84.95100000000001</v>
      </c>
      <c r="H35" s="54">
        <f>'1 кв'!H35+'2 кв'!H35</f>
        <v>291.924</v>
      </c>
      <c r="I35" s="26">
        <f t="shared" si="1"/>
        <v>376.875</v>
      </c>
      <c r="J35" s="27">
        <f t="shared" si="2"/>
        <v>1.2073763501989767</v>
      </c>
      <c r="K35" s="27">
        <f t="shared" si="2"/>
        <v>0.9510535986551468</v>
      </c>
      <c r="L35" s="28">
        <f t="shared" si="2"/>
        <v>0.9988523964506452</v>
      </c>
      <c r="M35" s="55">
        <f>'1 кв'!M35+'2 кв'!M35</f>
        <v>16402.12</v>
      </c>
      <c r="N35" s="29">
        <f t="shared" si="3"/>
        <v>43.521379767827526</v>
      </c>
      <c r="P35" s="168"/>
    </row>
    <row r="36" spans="1:16" ht="12.75">
      <c r="A36" s="31" t="s">
        <v>17</v>
      </c>
      <c r="B36" s="30"/>
      <c r="C36" s="30"/>
      <c r="D36" s="25">
        <f>'1 кв'!D36+'2 кв'!D36</f>
        <v>219.875</v>
      </c>
      <c r="E36" s="25">
        <f>'1 кв'!E36+'2 кв'!E36</f>
        <v>767.37</v>
      </c>
      <c r="F36" s="25">
        <f t="shared" si="0"/>
        <v>987.245</v>
      </c>
      <c r="G36" s="54">
        <f>'1 кв'!G36+'2 кв'!G36</f>
        <v>179.59199999999998</v>
      </c>
      <c r="H36" s="54">
        <f>'1 кв'!H36+'2 кв'!H36</f>
        <v>676.336</v>
      </c>
      <c r="I36" s="26">
        <f t="shared" si="1"/>
        <v>855.928</v>
      </c>
      <c r="J36" s="27">
        <f t="shared" si="2"/>
        <v>0.8167913587265491</v>
      </c>
      <c r="K36" s="27">
        <f t="shared" si="2"/>
        <v>0.8813688312026793</v>
      </c>
      <c r="L36" s="28">
        <f t="shared" si="2"/>
        <v>0.866986411680991</v>
      </c>
      <c r="M36" s="55">
        <f>'1 кв'!M36+'2 кв'!M36</f>
        <v>54151.92</v>
      </c>
      <c r="N36" s="29">
        <f t="shared" si="3"/>
        <v>63.26691030086643</v>
      </c>
      <c r="P36" s="168"/>
    </row>
    <row r="37" spans="1:16" ht="12.75">
      <c r="A37" s="31" t="s">
        <v>18</v>
      </c>
      <c r="B37" s="30"/>
      <c r="C37" s="30"/>
      <c r="D37" s="25">
        <f>'1 кв'!D37+'2 кв'!D37</f>
        <v>105.54</v>
      </c>
      <c r="E37" s="25">
        <f>'1 кв'!E37+'2 кв'!E37</f>
        <v>511.58000000000004</v>
      </c>
      <c r="F37" s="25">
        <f t="shared" si="0"/>
        <v>617.12</v>
      </c>
      <c r="G37" s="54">
        <f>'1 кв'!G37+'2 кв'!G37</f>
        <v>85.747</v>
      </c>
      <c r="H37" s="54">
        <f>'1 кв'!H37+'2 кв'!H37</f>
        <v>280.966</v>
      </c>
      <c r="I37" s="26">
        <f t="shared" si="1"/>
        <v>366.713</v>
      </c>
      <c r="J37" s="27">
        <f t="shared" si="2"/>
        <v>0.8124597309077126</v>
      </c>
      <c r="K37" s="27">
        <f t="shared" si="2"/>
        <v>0.5492122444192501</v>
      </c>
      <c r="L37" s="28">
        <f t="shared" si="2"/>
        <v>0.5942328882551206</v>
      </c>
      <c r="M37" s="55">
        <f>'1 кв'!M37+'2 кв'!M37</f>
        <v>40976.130000000005</v>
      </c>
      <c r="N37" s="29">
        <f t="shared" si="3"/>
        <v>111.73896207661032</v>
      </c>
      <c r="P37" s="168"/>
    </row>
    <row r="38" spans="1:16" ht="12.75">
      <c r="A38" s="31" t="s">
        <v>19</v>
      </c>
      <c r="B38" s="30"/>
      <c r="C38" s="30"/>
      <c r="D38" s="25">
        <f>'1 кв'!D38+'2 кв'!D38</f>
        <v>79.155</v>
      </c>
      <c r="E38" s="25">
        <f>'1 кв'!E38+'2 кв'!E38</f>
        <v>281.36899999999997</v>
      </c>
      <c r="F38" s="25">
        <f t="shared" si="0"/>
        <v>360.524</v>
      </c>
      <c r="G38" s="54">
        <f>'1 кв'!G38+'2 кв'!G38</f>
        <v>70.03</v>
      </c>
      <c r="H38" s="54">
        <f>'1 кв'!H38+'2 кв'!H38</f>
        <v>258.061</v>
      </c>
      <c r="I38" s="26">
        <f t="shared" si="1"/>
        <v>328.091</v>
      </c>
      <c r="J38" s="27">
        <f t="shared" si="2"/>
        <v>0.8847198534520877</v>
      </c>
      <c r="K38" s="27">
        <f t="shared" si="2"/>
        <v>0.9171621607213304</v>
      </c>
      <c r="L38" s="28">
        <f t="shared" si="2"/>
        <v>0.9100392761646936</v>
      </c>
      <c r="M38" s="55">
        <f>'1 кв'!M38+'2 кв'!M38</f>
        <v>39617.8</v>
      </c>
      <c r="N38" s="29">
        <f t="shared" si="3"/>
        <v>120.75247416113213</v>
      </c>
      <c r="P38" s="168"/>
    </row>
    <row r="39" spans="1:16" ht="12.75">
      <c r="A39" s="31" t="s">
        <v>20</v>
      </c>
      <c r="B39" s="30"/>
      <c r="C39" s="30"/>
      <c r="D39" s="25">
        <f>'1 кв'!D39+'2 кв'!D39</f>
        <v>835.5249999999999</v>
      </c>
      <c r="E39" s="25">
        <f>'1 кв'!E39+'2 кв'!E39</f>
        <v>2557.9</v>
      </c>
      <c r="F39" s="25">
        <f t="shared" si="0"/>
        <v>3393.425</v>
      </c>
      <c r="G39" s="54">
        <f>'1 кв'!G39+'2 кв'!G39</f>
        <v>872.685</v>
      </c>
      <c r="H39" s="54">
        <f>'1 кв'!H39+'2 кв'!H39</f>
        <v>2641.4359999999997</v>
      </c>
      <c r="I39" s="26">
        <f t="shared" si="1"/>
        <v>3514.1209999999996</v>
      </c>
      <c r="J39" s="27">
        <f t="shared" si="2"/>
        <v>1.0444750306693398</v>
      </c>
      <c r="K39" s="27">
        <f t="shared" si="2"/>
        <v>1.0326580397982719</v>
      </c>
      <c r="L39" s="28">
        <f t="shared" si="2"/>
        <v>1.035567605000847</v>
      </c>
      <c r="M39" s="55">
        <f>'1 кв'!M39+'2 кв'!M39</f>
        <v>352145.66</v>
      </c>
      <c r="N39" s="29">
        <f t="shared" si="3"/>
        <v>100.20874636929122</v>
      </c>
      <c r="P39" s="168"/>
    </row>
    <row r="40" spans="1:16" ht="12.75">
      <c r="A40" s="31" t="s">
        <v>21</v>
      </c>
      <c r="B40" s="30"/>
      <c r="C40" s="30"/>
      <c r="D40" s="25">
        <f>'1 кв'!D40+'2 кв'!D40</f>
        <v>879.5</v>
      </c>
      <c r="E40" s="25">
        <f>'1 кв'!E40+'2 кв'!E40</f>
        <v>2557.9</v>
      </c>
      <c r="F40" s="25">
        <f t="shared" si="0"/>
        <v>3437.4</v>
      </c>
      <c r="G40" s="54">
        <f>'1 кв'!G40+'2 кв'!G40</f>
        <v>769.6</v>
      </c>
      <c r="H40" s="54">
        <f>'1 кв'!H40+'2 кв'!H40</f>
        <v>2483.3999999999996</v>
      </c>
      <c r="I40" s="26">
        <f t="shared" si="1"/>
        <v>3252.9999999999995</v>
      </c>
      <c r="J40" s="27">
        <f t="shared" si="2"/>
        <v>0.8750426378624219</v>
      </c>
      <c r="K40" s="27">
        <f t="shared" si="2"/>
        <v>0.9708745455256264</v>
      </c>
      <c r="L40" s="28">
        <f t="shared" si="2"/>
        <v>0.9463548030488158</v>
      </c>
      <c r="M40" s="55">
        <f>'1 кв'!M40+'2 кв'!M40</f>
        <v>171471.88</v>
      </c>
      <c r="N40" s="29">
        <f t="shared" si="3"/>
        <v>52.71192130341225</v>
      </c>
      <c r="P40" s="168"/>
    </row>
    <row r="41" spans="1:16" ht="12.75">
      <c r="A41" s="31" t="s">
        <v>22</v>
      </c>
      <c r="B41" s="30"/>
      <c r="C41" s="30"/>
      <c r="D41" s="25">
        <f>'1 кв'!D41+'2 кв'!D41</f>
        <v>1055.4</v>
      </c>
      <c r="E41" s="25">
        <f>'1 кв'!E41+'2 кв'!E41</f>
        <v>3581.0600000000004</v>
      </c>
      <c r="F41" s="25">
        <f t="shared" si="0"/>
        <v>4636.460000000001</v>
      </c>
      <c r="G41" s="54">
        <f>'1 кв'!G41+'2 кв'!G41</f>
        <v>953.434</v>
      </c>
      <c r="H41" s="54">
        <f>'1 кв'!H41+'2 кв'!H41</f>
        <v>3447.3070000000002</v>
      </c>
      <c r="I41" s="26">
        <f t="shared" si="1"/>
        <v>4400.741</v>
      </c>
      <c r="J41" s="27">
        <f t="shared" si="2"/>
        <v>0.903386393784347</v>
      </c>
      <c r="K41" s="27">
        <f t="shared" si="2"/>
        <v>0.9626498857880068</v>
      </c>
      <c r="L41" s="28">
        <f t="shared" si="2"/>
        <v>0.9491597037394907</v>
      </c>
      <c r="M41" s="55">
        <f>'1 кв'!M41+'2 кв'!M41</f>
        <v>146717.83000000002</v>
      </c>
      <c r="N41" s="29">
        <f t="shared" si="3"/>
        <v>33.33934671456466</v>
      </c>
      <c r="P41" s="168"/>
    </row>
    <row r="42" spans="1:16" ht="12.75">
      <c r="A42" s="31" t="s">
        <v>23</v>
      </c>
      <c r="B42" s="30"/>
      <c r="C42" s="30"/>
      <c r="D42" s="25">
        <f>'1 кв'!D42+'2 кв'!D42</f>
        <v>1583.1</v>
      </c>
      <c r="E42" s="25">
        <f>'1 кв'!E42+'2 кв'!E42</f>
        <v>5627.38</v>
      </c>
      <c r="F42" s="25">
        <f t="shared" si="0"/>
        <v>7210.48</v>
      </c>
      <c r="G42" s="54">
        <f>'1 кв'!G42+'2 кв'!G42</f>
        <v>1375.9569999999999</v>
      </c>
      <c r="H42" s="54">
        <f>'1 кв'!H42+'2 кв'!H42</f>
        <v>5098.865000000001</v>
      </c>
      <c r="I42" s="26">
        <f t="shared" si="1"/>
        <v>6474.822</v>
      </c>
      <c r="J42" s="27">
        <f t="shared" si="2"/>
        <v>0.8691535594719222</v>
      </c>
      <c r="K42" s="27">
        <f t="shared" si="2"/>
        <v>0.9060815157320103</v>
      </c>
      <c r="L42" s="28">
        <f t="shared" si="2"/>
        <v>0.897973782605319</v>
      </c>
      <c r="M42" s="55">
        <f>'1 кв'!M42+'2 кв'!M42</f>
        <v>297213.62</v>
      </c>
      <c r="N42" s="29">
        <f t="shared" si="3"/>
        <v>45.90297926336817</v>
      </c>
      <c r="P42" s="168"/>
    </row>
    <row r="43" spans="1:16" ht="12.75">
      <c r="A43" s="31" t="s">
        <v>24</v>
      </c>
      <c r="B43" s="30"/>
      <c r="C43" s="30"/>
      <c r="D43" s="25">
        <f>'1 кв'!D43+'2 кв'!D43</f>
        <v>351.8</v>
      </c>
      <c r="E43" s="25">
        <f>'1 кв'!E43+'2 кв'!E43</f>
        <v>1278.95</v>
      </c>
      <c r="F43" s="25">
        <f t="shared" si="0"/>
        <v>1630.75</v>
      </c>
      <c r="G43" s="54">
        <f>'1 кв'!G43+'2 кв'!G43</f>
        <v>351.618</v>
      </c>
      <c r="H43" s="54">
        <f>'1 кв'!H43+'2 кв'!H43</f>
        <v>1157.5520000000001</v>
      </c>
      <c r="I43" s="26">
        <f t="shared" si="1"/>
        <v>1509.17</v>
      </c>
      <c r="J43" s="27">
        <f t="shared" si="2"/>
        <v>0.999482660602615</v>
      </c>
      <c r="K43" s="27">
        <f t="shared" si="2"/>
        <v>0.905079948395168</v>
      </c>
      <c r="L43" s="28">
        <f t="shared" si="2"/>
        <v>0.9254453472328683</v>
      </c>
      <c r="M43" s="55">
        <f>'1 кв'!M43+'2 кв'!M43</f>
        <v>78678.44</v>
      </c>
      <c r="N43" s="29">
        <f t="shared" si="3"/>
        <v>52.13358336039015</v>
      </c>
      <c r="P43" s="168"/>
    </row>
    <row r="44" spans="1:16" ht="12.75">
      <c r="A44" s="32" t="s">
        <v>25</v>
      </c>
      <c r="B44" s="30"/>
      <c r="C44" s="30"/>
      <c r="D44" s="25">
        <f>'1 кв'!D44+'2 кв'!D44</f>
        <v>527.7</v>
      </c>
      <c r="E44" s="25">
        <f>'1 кв'!E44+'2 кв'!E44</f>
        <v>2046.3200000000002</v>
      </c>
      <c r="F44" s="25">
        <f>D44+E44</f>
        <v>2574.0200000000004</v>
      </c>
      <c r="G44" s="54">
        <f>'1 кв'!G44+'2 кв'!G44</f>
        <v>496.59900000000005</v>
      </c>
      <c r="H44" s="54">
        <f>'1 кв'!H44+'2 кв'!H44</f>
        <v>1736.695</v>
      </c>
      <c r="I44" s="26">
        <f>G44+H44</f>
        <v>2233.294</v>
      </c>
      <c r="J44" s="27">
        <f t="shared" si="2"/>
        <v>0.9410631040363843</v>
      </c>
      <c r="K44" s="27">
        <f t="shared" si="2"/>
        <v>0.8486917979592633</v>
      </c>
      <c r="L44" s="28">
        <f t="shared" si="2"/>
        <v>0.8676288451527181</v>
      </c>
      <c r="M44" s="55">
        <f>'1 кв'!M44+'2 кв'!M44</f>
        <v>149406.53</v>
      </c>
      <c r="N44" s="29">
        <f>IF(I44&gt;0,M44/I44,0)</f>
        <v>66.89962450084943</v>
      </c>
      <c r="P44" s="168"/>
    </row>
    <row r="45" spans="1:16" s="20" customFormat="1" ht="12.75">
      <c r="A45" s="44" t="s">
        <v>54</v>
      </c>
      <c r="B45" s="45"/>
      <c r="C45" s="45"/>
      <c r="D45" s="46">
        <f>SUM(D22:D44)</f>
        <v>20105.370000000003</v>
      </c>
      <c r="E45" s="46">
        <f>SUM(E22:E44)</f>
        <v>64331.18499999999</v>
      </c>
      <c r="F45" s="46">
        <f>D45+E45</f>
        <v>84436.555</v>
      </c>
      <c r="G45" s="54">
        <f>'1 кв'!G45+'2 кв'!G45</f>
        <v>18262.434999999998</v>
      </c>
      <c r="H45" s="54">
        <f>'1 кв'!H45+'2 кв'!H45</f>
        <v>58933.558999999994</v>
      </c>
      <c r="I45" s="47">
        <f>G45+H45</f>
        <v>77195.99399999999</v>
      </c>
      <c r="J45" s="59">
        <f>IF(G45&gt;0,G45/D45,0)</f>
        <v>0.9083361808312901</v>
      </c>
      <c r="K45" s="59">
        <f>IF(E45&gt;0,H45/E45,0)</f>
        <v>0.9160962758575021</v>
      </c>
      <c r="L45" s="59">
        <f>IF(F45&gt;0,I45/F45,0)</f>
        <v>0.9142485029144072</v>
      </c>
      <c r="M45" s="55">
        <f>'1 кв'!M45+'2 кв'!M45</f>
        <v>4657871.56</v>
      </c>
      <c r="N45" s="60"/>
      <c r="P45" s="169"/>
    </row>
    <row r="46" ht="13.5" hidden="1" thickBot="1">
      <c r="P46" s="168"/>
    </row>
    <row r="47" spans="1:16" s="37" customFormat="1" ht="21" customHeight="1" hidden="1" thickBot="1">
      <c r="A47" s="33" t="s">
        <v>48</v>
      </c>
      <c r="B47" s="34">
        <f>SUM(B22:B24)</f>
        <v>0</v>
      </c>
      <c r="C47" s="34">
        <f>SUM(C22:C24)</f>
        <v>0</v>
      </c>
      <c r="D47" s="35">
        <f aca="true" t="shared" si="4" ref="D47:I47">SUM(D22:D24)</f>
        <v>791.55</v>
      </c>
      <c r="E47" s="35">
        <f t="shared" si="4"/>
        <v>2660.216</v>
      </c>
      <c r="F47" s="35">
        <f t="shared" si="4"/>
        <v>3451.766</v>
      </c>
      <c r="G47" s="35">
        <f t="shared" si="4"/>
        <v>718.098</v>
      </c>
      <c r="H47" s="35">
        <f t="shared" si="4"/>
        <v>2543.703</v>
      </c>
      <c r="I47" s="35">
        <f t="shared" si="4"/>
        <v>3261.801</v>
      </c>
      <c r="J47" s="61">
        <f>IF(G47=0,0,G47/D47)</f>
        <v>0.9072048512412355</v>
      </c>
      <c r="K47" s="61">
        <f>IF(H47=0,0,H47/E47)</f>
        <v>0.9562016768563154</v>
      </c>
      <c r="L47" s="61">
        <f>IF(I47&gt;0,I47/F47,0)</f>
        <v>0.9449658522622912</v>
      </c>
      <c r="M47" s="58">
        <f>SUM(M22:M24)</f>
        <v>937274.56</v>
      </c>
      <c r="N47" s="36">
        <f>IF(M47=0,0,M47/I47)</f>
        <v>287.3487867592168</v>
      </c>
      <c r="P47" s="170"/>
    </row>
    <row r="48" ht="12.75">
      <c r="P48" s="168"/>
    </row>
  </sheetData>
  <sheetProtection password="CC53" sheet="1" formatCells="0" formatColumns="0" formatRows="0" insertColumns="0" insertRows="0" insertHyperlinks="0" deleteColumns="0" deleteRows="0" sort="0" autoFilter="0" pivotTables="0"/>
  <mergeCells count="19">
    <mergeCell ref="M20:M21"/>
    <mergeCell ref="E2:G2"/>
    <mergeCell ref="A15:B15"/>
    <mergeCell ref="L15:M15"/>
    <mergeCell ref="C8:C10"/>
    <mergeCell ref="D8:F10"/>
    <mergeCell ref="A11:B11"/>
    <mergeCell ref="L13:N13"/>
    <mergeCell ref="L14:M14"/>
    <mergeCell ref="A1:G1"/>
    <mergeCell ref="L16:M16"/>
    <mergeCell ref="L17:M17"/>
    <mergeCell ref="A19:N19"/>
    <mergeCell ref="A20:A21"/>
    <mergeCell ref="B20:C20"/>
    <mergeCell ref="D20:F20"/>
    <mergeCell ref="G20:I20"/>
    <mergeCell ref="N20:N21"/>
    <mergeCell ref="J20:L20"/>
  </mergeCells>
  <printOptions horizontalCentered="1"/>
  <pageMargins left="0.31496062992125984" right="0.31496062992125984" top="0.9448818897637796" bottom="0.35433070866141736" header="0" footer="0"/>
  <pageSetup fitToHeight="1" fitToWidth="1" horizontalDpi="600" verticalDpi="600" orientation="landscape" paperSize="9" scale="7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B13" sqref="B13"/>
    </sheetView>
  </sheetViews>
  <sheetFormatPr defaultColWidth="9.125" defaultRowHeight="12.75"/>
  <cols>
    <col min="1" max="1" width="32.625" style="2" customWidth="1"/>
    <col min="2" max="2" width="13.875" style="2" customWidth="1"/>
    <col min="3" max="3" width="12.125" style="2" customWidth="1"/>
    <col min="4" max="12" width="11.375" style="2" customWidth="1"/>
    <col min="13" max="13" width="12.50390625" style="2" customWidth="1"/>
    <col min="14" max="14" width="11.375" style="2" customWidth="1"/>
    <col min="15" max="15" width="10.50390625" style="2" customWidth="1"/>
    <col min="16" max="16384" width="9.125" style="2" customWidth="1"/>
  </cols>
  <sheetData>
    <row r="1" spans="1:14" ht="24" customHeight="1">
      <c r="A1" s="171" t="s">
        <v>92</v>
      </c>
      <c r="B1" s="171"/>
      <c r="C1" s="171"/>
      <c r="D1" s="171"/>
      <c r="E1" s="171"/>
      <c r="F1" s="171"/>
      <c r="G1" s="171"/>
      <c r="H1" s="119">
        <f>янв!H1</f>
        <v>2023</v>
      </c>
      <c r="I1" s="1" t="s">
        <v>75</v>
      </c>
      <c r="J1" s="1"/>
      <c r="K1" s="1"/>
      <c r="L1" s="1"/>
      <c r="M1" s="1"/>
      <c r="N1" s="1"/>
    </row>
    <row r="2" spans="1:7" ht="12.75">
      <c r="A2" s="3" t="s">
        <v>26</v>
      </c>
      <c r="B2" s="52"/>
      <c r="E2" s="183" t="s">
        <v>55</v>
      </c>
      <c r="F2" s="183"/>
      <c r="G2" s="183"/>
    </row>
    <row r="3" spans="1:2" ht="12.75">
      <c r="A3" s="3" t="s">
        <v>0</v>
      </c>
      <c r="B3" s="52"/>
    </row>
    <row r="4" spans="1:2" ht="12.75">
      <c r="A4" s="4" t="s">
        <v>30</v>
      </c>
      <c r="B4" s="53">
        <f>янв!B4</f>
        <v>448</v>
      </c>
    </row>
    <row r="5" spans="1:2" ht="12.75">
      <c r="A5" s="5" t="s">
        <v>28</v>
      </c>
      <c r="B5" s="140">
        <f>B6+B7</f>
        <v>16236</v>
      </c>
    </row>
    <row r="6" spans="1:2" ht="12.75">
      <c r="A6" s="6" t="s">
        <v>27</v>
      </c>
      <c r="B6" s="141">
        <f>июль!B6+авг!B6+сент!B6</f>
        <v>3831</v>
      </c>
    </row>
    <row r="7" spans="1:2" ht="13.5" thickBot="1">
      <c r="A7" s="7" t="s">
        <v>29</v>
      </c>
      <c r="B7" s="143">
        <f>июль!B7+авг!B7+сент!B7</f>
        <v>12405</v>
      </c>
    </row>
    <row r="8" spans="1:8" ht="12.75">
      <c r="A8" s="8" t="s">
        <v>31</v>
      </c>
      <c r="B8" s="142">
        <f>июль!B8+авг!B8+сент!B8</f>
        <v>2318110.91</v>
      </c>
      <c r="C8" s="184"/>
      <c r="D8" s="187"/>
      <c r="E8" s="183"/>
      <c r="F8" s="183"/>
      <c r="H8" s="113"/>
    </row>
    <row r="9" spans="1:6" ht="12.75">
      <c r="A9" s="9" t="s">
        <v>32</v>
      </c>
      <c r="B9" s="129">
        <f>июль!B9+авг!B9+сент!B9</f>
        <v>2304142.83</v>
      </c>
      <c r="C9" s="184"/>
      <c r="D9" s="187"/>
      <c r="E9" s="183"/>
      <c r="F9" s="183"/>
    </row>
    <row r="10" spans="1:6" ht="13.5" thickBot="1">
      <c r="A10" s="11" t="s">
        <v>33</v>
      </c>
      <c r="B10" s="130">
        <f>B8-B9</f>
        <v>13968.080000000075</v>
      </c>
      <c r="C10" s="184"/>
      <c r="D10" s="187"/>
      <c r="E10" s="183"/>
      <c r="F10" s="183"/>
    </row>
    <row r="11" spans="1:3" ht="12.75">
      <c r="A11" s="185" t="s">
        <v>40</v>
      </c>
      <c r="B11" s="185"/>
      <c r="C11" s="12"/>
    </row>
    <row r="12" spans="1:3" ht="12.75">
      <c r="A12" s="3" t="s">
        <v>34</v>
      </c>
      <c r="B12" s="13">
        <v>131</v>
      </c>
      <c r="C12" s="12"/>
    </row>
    <row r="13" spans="1:14" ht="12.75" customHeight="1">
      <c r="A13" s="3" t="s">
        <v>2</v>
      </c>
      <c r="B13" s="131">
        <f>IF(M45&gt;0,B8/B5,0)</f>
        <v>142.77598608031536</v>
      </c>
      <c r="C13" s="12"/>
      <c r="L13" s="176" t="s">
        <v>49</v>
      </c>
      <c r="M13" s="176"/>
      <c r="N13" s="176"/>
    </row>
    <row r="14" spans="1:14" ht="12.75">
      <c r="A14" s="14" t="s">
        <v>3</v>
      </c>
      <c r="B14" s="15">
        <f>B13/B12</f>
        <v>1.0898930235138578</v>
      </c>
      <c r="E14" s="42"/>
      <c r="L14" s="177" t="s">
        <v>50</v>
      </c>
      <c r="M14" s="177"/>
      <c r="N14" s="41">
        <v>2</v>
      </c>
    </row>
    <row r="15" spans="1:14" ht="12.75">
      <c r="A15" s="182" t="s">
        <v>41</v>
      </c>
      <c r="B15" s="182"/>
      <c r="C15" s="12"/>
      <c r="E15" s="43"/>
      <c r="L15" s="177" t="s">
        <v>53</v>
      </c>
      <c r="M15" s="177"/>
      <c r="N15" s="41">
        <v>1.25</v>
      </c>
    </row>
    <row r="16" spans="1:14" ht="12.75">
      <c r="A16" s="3" t="s">
        <v>42</v>
      </c>
      <c r="B16" s="16">
        <f>J45</f>
        <v>0.9269035836717223</v>
      </c>
      <c r="C16" s="12"/>
      <c r="L16" s="177" t="s">
        <v>52</v>
      </c>
      <c r="M16" s="177"/>
      <c r="N16" s="41">
        <v>2.63</v>
      </c>
    </row>
    <row r="17" spans="1:14" ht="13.5" thickBot="1">
      <c r="A17" s="3" t="s">
        <v>43</v>
      </c>
      <c r="B17" s="17">
        <f>K45</f>
        <v>0.946574162441714</v>
      </c>
      <c r="C17" s="12"/>
      <c r="L17" s="177" t="s">
        <v>51</v>
      </c>
      <c r="M17" s="177"/>
      <c r="N17" s="41">
        <v>8.33</v>
      </c>
    </row>
    <row r="18" spans="1:3" ht="18" thickBot="1">
      <c r="A18" s="18" t="s">
        <v>44</v>
      </c>
      <c r="B18" s="19">
        <f>L45</f>
        <v>0.9422627368775754</v>
      </c>
      <c r="C18" s="12"/>
    </row>
    <row r="19" spans="1:14" ht="18.75" customHeight="1">
      <c r="A19" s="174" t="s">
        <v>1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</row>
    <row r="20" spans="1:14" s="20" customFormat="1" ht="39" customHeight="1">
      <c r="A20" s="186"/>
      <c r="B20" s="179" t="s">
        <v>37</v>
      </c>
      <c r="C20" s="179"/>
      <c r="D20" s="178" t="s">
        <v>38</v>
      </c>
      <c r="E20" s="178"/>
      <c r="F20" s="179"/>
      <c r="G20" s="178" t="s">
        <v>39</v>
      </c>
      <c r="H20" s="179"/>
      <c r="I20" s="179"/>
      <c r="J20" s="180" t="s">
        <v>4</v>
      </c>
      <c r="K20" s="181"/>
      <c r="L20" s="181"/>
      <c r="M20" s="172" t="s">
        <v>46</v>
      </c>
      <c r="N20" s="172" t="s">
        <v>47</v>
      </c>
    </row>
    <row r="21" spans="1:14" s="20" customFormat="1" ht="12.75">
      <c r="A21" s="186"/>
      <c r="B21" s="48" t="s">
        <v>27</v>
      </c>
      <c r="C21" s="48" t="s">
        <v>29</v>
      </c>
      <c r="D21" s="21" t="s">
        <v>27</v>
      </c>
      <c r="E21" s="21" t="s">
        <v>29</v>
      </c>
      <c r="F21" s="21" t="s">
        <v>5</v>
      </c>
      <c r="G21" s="21" t="s">
        <v>27</v>
      </c>
      <c r="H21" s="21" t="s">
        <v>29</v>
      </c>
      <c r="I21" s="21" t="s">
        <v>5</v>
      </c>
      <c r="J21" s="21" t="s">
        <v>27</v>
      </c>
      <c r="K21" s="21" t="s">
        <v>29</v>
      </c>
      <c r="L21" s="22" t="s">
        <v>45</v>
      </c>
      <c r="M21" s="173"/>
      <c r="N21" s="173"/>
    </row>
    <row r="22" spans="1:14" ht="12.75">
      <c r="A22" s="23" t="s">
        <v>6</v>
      </c>
      <c r="B22" s="30"/>
      <c r="C22" s="30"/>
      <c r="D22" s="25">
        <f>июль!D22+авг!D22+сент!D22</f>
        <v>191.55</v>
      </c>
      <c r="E22" s="25">
        <f>июль!E22+авг!E22+сент!E22</f>
        <v>682.275</v>
      </c>
      <c r="F22" s="25">
        <f>D22+E22</f>
        <v>873.825</v>
      </c>
      <c r="G22" s="54">
        <f>июль!G22+авг!G22+сент!G22</f>
        <v>166.941</v>
      </c>
      <c r="H22" s="54">
        <f>июль!H22+авг!H22+сент!H22</f>
        <v>663.005</v>
      </c>
      <c r="I22" s="26">
        <f>G22+H22</f>
        <v>829.946</v>
      </c>
      <c r="J22" s="27">
        <f>IF(G22&gt;0,G22/D22,0)</f>
        <v>0.8715270164447925</v>
      </c>
      <c r="K22" s="27">
        <f>IF(H22&gt;0,H22/E22,0)</f>
        <v>0.9717562566413837</v>
      </c>
      <c r="L22" s="28">
        <f>IF(I22&gt;0,I22/F22,0)</f>
        <v>0.9497851400452035</v>
      </c>
      <c r="M22" s="55">
        <f>июль!M22+авг!M22+сент!M22</f>
        <v>270199.56</v>
      </c>
      <c r="N22" s="29">
        <f>IF(I22&gt;0,M22/I22,0)</f>
        <v>325.56281974971864</v>
      </c>
    </row>
    <row r="23" spans="1:14" ht="12.75">
      <c r="A23" s="23" t="s">
        <v>7</v>
      </c>
      <c r="B23" s="30"/>
      <c r="C23" s="30"/>
      <c r="D23" s="25">
        <f>июль!D23+авг!D23+сент!D23</f>
        <v>76.62</v>
      </c>
      <c r="E23" s="25">
        <f>июль!E23+авг!E23+сент!E23</f>
        <v>297.72</v>
      </c>
      <c r="F23" s="25">
        <f aca="true" t="shared" si="0" ref="F23:F43">D23+E23</f>
        <v>374.34000000000003</v>
      </c>
      <c r="G23" s="54">
        <f>июль!G23+авг!G23+сент!G23</f>
        <v>65.709</v>
      </c>
      <c r="H23" s="54">
        <f>июль!H23+авг!H23+сент!H23</f>
        <v>254.586</v>
      </c>
      <c r="I23" s="26">
        <f aca="true" t="shared" si="1" ref="I23:I43">G23+H23</f>
        <v>320.295</v>
      </c>
      <c r="J23" s="27">
        <f aca="true" t="shared" si="2" ref="J23:L44">IF(D23&gt;0,G23/D23,0)</f>
        <v>0.8575959279561473</v>
      </c>
      <c r="K23" s="27">
        <f t="shared" si="2"/>
        <v>0.8551189036678758</v>
      </c>
      <c r="L23" s="28">
        <f t="shared" si="2"/>
        <v>0.8556259015867927</v>
      </c>
      <c r="M23" s="55">
        <f>июль!M23+авг!M23+сент!M23</f>
        <v>82416.01000000001</v>
      </c>
      <c r="N23" s="29">
        <f aca="true" t="shared" si="3" ref="N23:N43">IF(I23&gt;0,M23/I23,0)</f>
        <v>257.31282099314694</v>
      </c>
    </row>
    <row r="24" spans="1:14" ht="12.75">
      <c r="A24" s="23" t="s">
        <v>97</v>
      </c>
      <c r="B24" s="30"/>
      <c r="C24" s="30"/>
      <c r="D24" s="25">
        <f>июль!D24+авг!D24+сент!D24</f>
        <v>76.62</v>
      </c>
      <c r="E24" s="25">
        <f>июль!E24+авг!E24+сент!E24</f>
        <v>310.12500000000006</v>
      </c>
      <c r="F24" s="25">
        <f>D24+E24</f>
        <v>386.74500000000006</v>
      </c>
      <c r="G24" s="54">
        <f>июль!G24+авг!G24+сент!G24</f>
        <v>76.881</v>
      </c>
      <c r="H24" s="54">
        <f>июль!H24+авг!H24+сент!H24</f>
        <v>310.33799999999997</v>
      </c>
      <c r="I24" s="26">
        <f>G24+H24</f>
        <v>387.21899999999994</v>
      </c>
      <c r="J24" s="27">
        <f>IF(D24&gt;0,G24/D24,0)</f>
        <v>1.0034064212999216</v>
      </c>
      <c r="K24" s="27">
        <f>IF(E24&gt;0,H24/E24,0)</f>
        <v>1.000686819830713</v>
      </c>
      <c r="L24" s="28">
        <f>IF(F24&gt;0,I24/F24,0)</f>
        <v>1.0012256137765192</v>
      </c>
      <c r="M24" s="55">
        <f>июль!M24+авг!M24+сент!M24</f>
        <v>101693.78</v>
      </c>
      <c r="N24" s="29">
        <f>IF(I24&gt;0,M24/I24,0)</f>
        <v>262.6260075047971</v>
      </c>
    </row>
    <row r="25" spans="1:14" ht="12.75">
      <c r="A25" s="31" t="s">
        <v>8</v>
      </c>
      <c r="B25" s="30"/>
      <c r="C25" s="30"/>
      <c r="D25" s="25">
        <f>июль!D25+авг!D25+сент!D25</f>
        <v>122.592</v>
      </c>
      <c r="E25" s="25">
        <f>июль!E25+авг!E25+сент!E25</f>
        <v>458.98499999999996</v>
      </c>
      <c r="F25" s="25">
        <f t="shared" si="0"/>
        <v>581.577</v>
      </c>
      <c r="G25" s="54">
        <f>июль!G25+авг!G25+сент!G25</f>
        <v>114.04</v>
      </c>
      <c r="H25" s="54">
        <f>июль!H25+авг!H25+сент!H25</f>
        <v>420.77700000000004</v>
      </c>
      <c r="I25" s="26">
        <f t="shared" si="1"/>
        <v>534.817</v>
      </c>
      <c r="J25" s="27">
        <f t="shared" si="2"/>
        <v>0.9302401461759332</v>
      </c>
      <c r="K25" s="27">
        <f t="shared" si="2"/>
        <v>0.9167554495244944</v>
      </c>
      <c r="L25" s="28">
        <f t="shared" si="2"/>
        <v>0.9195979208256173</v>
      </c>
      <c r="M25" s="55">
        <f>июль!M25+авг!M25+сент!M25</f>
        <v>126689.98999999999</v>
      </c>
      <c r="N25" s="29">
        <f t="shared" si="3"/>
        <v>236.8847474930677</v>
      </c>
    </row>
    <row r="26" spans="1:14" ht="12.75">
      <c r="A26" s="31" t="s">
        <v>35</v>
      </c>
      <c r="B26" s="30"/>
      <c r="C26" s="30"/>
      <c r="D26" s="25">
        <f>июль!D26+авг!D26+сент!D26</f>
        <v>68.958</v>
      </c>
      <c r="E26" s="25">
        <f>июль!E26+авг!E26+сент!E26</f>
        <v>260.505</v>
      </c>
      <c r="F26" s="25">
        <f t="shared" si="0"/>
        <v>329.46299999999997</v>
      </c>
      <c r="G26" s="54">
        <f>июль!G26+авг!G26+сент!G26</f>
        <v>73.525</v>
      </c>
      <c r="H26" s="54">
        <f>июль!H26+авг!H26+сент!H26</f>
        <v>267.985</v>
      </c>
      <c r="I26" s="26">
        <f t="shared" si="1"/>
        <v>341.51</v>
      </c>
      <c r="J26" s="27">
        <f t="shared" si="2"/>
        <v>1.0662287189303634</v>
      </c>
      <c r="K26" s="27">
        <f t="shared" si="2"/>
        <v>1.0287134603942343</v>
      </c>
      <c r="L26" s="28">
        <f t="shared" si="2"/>
        <v>1.0365655627490797</v>
      </c>
      <c r="M26" s="55">
        <f>июль!M26+авг!M26+сент!M26</f>
        <v>223879.2</v>
      </c>
      <c r="N26" s="29">
        <f t="shared" si="3"/>
        <v>655.5567918948201</v>
      </c>
    </row>
    <row r="27" spans="1:14" ht="12.75">
      <c r="A27" s="31" t="s">
        <v>36</v>
      </c>
      <c r="B27" s="30"/>
      <c r="C27" s="30"/>
      <c r="D27" s="25">
        <f>июль!D27+авг!D27+сент!D27</f>
        <v>34.479</v>
      </c>
      <c r="E27" s="25">
        <f>июль!E27+авг!E27+сент!E27</f>
        <v>136.45499999999998</v>
      </c>
      <c r="F27" s="25">
        <f t="shared" si="0"/>
        <v>170.93399999999997</v>
      </c>
      <c r="G27" s="54">
        <f>июль!G27+авг!G27+сент!G27</f>
        <v>30.500999999999998</v>
      </c>
      <c r="H27" s="54">
        <f>июль!H27+авг!H27+сент!H27</f>
        <v>136.185</v>
      </c>
      <c r="I27" s="26">
        <f t="shared" si="1"/>
        <v>166.686</v>
      </c>
      <c r="J27" s="27">
        <f t="shared" si="2"/>
        <v>0.8846254241712346</v>
      </c>
      <c r="K27" s="27">
        <f t="shared" si="2"/>
        <v>0.9980213257117733</v>
      </c>
      <c r="L27" s="28">
        <f t="shared" si="2"/>
        <v>0.9751483028537332</v>
      </c>
      <c r="M27" s="55">
        <f>июль!M27+авг!M27+сент!M27</f>
        <v>17954.949999999997</v>
      </c>
      <c r="N27" s="29">
        <f t="shared" si="3"/>
        <v>107.71720480424268</v>
      </c>
    </row>
    <row r="28" spans="1:14" ht="12.75">
      <c r="A28" s="32" t="s">
        <v>9</v>
      </c>
      <c r="B28" s="30"/>
      <c r="C28" s="30"/>
      <c r="D28" s="25">
        <f>июль!D28+авг!D28+сент!D28</f>
        <v>1494.09</v>
      </c>
      <c r="E28" s="25">
        <f>июль!E28+авг!E28+сент!E28</f>
        <v>5582.25</v>
      </c>
      <c r="F28" s="25">
        <f t="shared" si="0"/>
        <v>7076.34</v>
      </c>
      <c r="G28" s="54">
        <f>июль!G28+авг!G28+сент!G28</f>
        <v>1444.857</v>
      </c>
      <c r="H28" s="54">
        <f>июль!H28+авг!H28+сент!H28</f>
        <v>5223.8</v>
      </c>
      <c r="I28" s="26">
        <f t="shared" si="1"/>
        <v>6668.657</v>
      </c>
      <c r="J28" s="27">
        <f t="shared" si="2"/>
        <v>0.9670481697889686</v>
      </c>
      <c r="K28" s="27">
        <f t="shared" si="2"/>
        <v>0.9357875408661382</v>
      </c>
      <c r="L28" s="28">
        <f t="shared" si="2"/>
        <v>0.9423878728269134</v>
      </c>
      <c r="M28" s="55">
        <f>июль!M28+авг!M28+сент!M28</f>
        <v>421568.86</v>
      </c>
      <c r="N28" s="29">
        <f t="shared" si="3"/>
        <v>63.21645572714266</v>
      </c>
    </row>
    <row r="29" spans="1:14" ht="12.75">
      <c r="A29" s="31" t="s">
        <v>10</v>
      </c>
      <c r="B29" s="30"/>
      <c r="C29" s="30"/>
      <c r="D29" s="25">
        <f>июль!D29+авг!D29+сент!D29</f>
        <v>114.93</v>
      </c>
      <c r="E29" s="25">
        <f>июль!E29+авг!E29+сент!E29</f>
        <v>496.2</v>
      </c>
      <c r="F29" s="25">
        <f t="shared" si="0"/>
        <v>611.13</v>
      </c>
      <c r="G29" s="54">
        <f>июль!G29+авг!G29+сент!G29</f>
        <v>105.072</v>
      </c>
      <c r="H29" s="54">
        <f>июль!H29+авг!H29+сент!H29</f>
        <v>436.933</v>
      </c>
      <c r="I29" s="26">
        <f t="shared" si="1"/>
        <v>542.005</v>
      </c>
      <c r="J29" s="27">
        <f t="shared" si="2"/>
        <v>0.9142260506395197</v>
      </c>
      <c r="K29" s="27">
        <f t="shared" si="2"/>
        <v>0.8805582426440951</v>
      </c>
      <c r="L29" s="28">
        <f t="shared" si="2"/>
        <v>0.8868898597679709</v>
      </c>
      <c r="M29" s="55">
        <f>июль!M29+авг!M29+сент!M29</f>
        <v>181585.8</v>
      </c>
      <c r="N29" s="29">
        <f t="shared" si="3"/>
        <v>335.026060645197</v>
      </c>
    </row>
    <row r="30" spans="1:14" ht="12.75">
      <c r="A30" s="31" t="s">
        <v>11</v>
      </c>
      <c r="B30" s="30"/>
      <c r="C30" s="30"/>
      <c r="D30" s="25">
        <f>июль!D30+авг!D30+сент!D30</f>
        <v>34.479</v>
      </c>
      <c r="E30" s="25">
        <f>июль!E30+авг!E30+сент!E30</f>
        <v>136.45499999999998</v>
      </c>
      <c r="F30" s="25">
        <f t="shared" si="0"/>
        <v>170.93399999999997</v>
      </c>
      <c r="G30" s="54">
        <f>июль!G30+авг!G30+сент!G30</f>
        <v>34.897</v>
      </c>
      <c r="H30" s="54">
        <f>июль!H30+авг!H30+сент!H30</f>
        <v>132.74599999999998</v>
      </c>
      <c r="I30" s="26">
        <f t="shared" si="1"/>
        <v>167.64299999999997</v>
      </c>
      <c r="J30" s="27">
        <f t="shared" si="2"/>
        <v>1.012123321442037</v>
      </c>
      <c r="K30" s="27">
        <f t="shared" si="2"/>
        <v>0.9728188780183943</v>
      </c>
      <c r="L30" s="28">
        <f t="shared" si="2"/>
        <v>0.9807469549650742</v>
      </c>
      <c r="M30" s="55">
        <f>июль!M30+авг!M30+сент!M30</f>
        <v>30008.07</v>
      </c>
      <c r="N30" s="29">
        <f t="shared" si="3"/>
        <v>178.99983894346917</v>
      </c>
    </row>
    <row r="31" spans="1:14" ht="12.75">
      <c r="A31" s="31" t="s">
        <v>12</v>
      </c>
      <c r="B31" s="30"/>
      <c r="C31" s="30"/>
      <c r="D31" s="25">
        <f>июль!D31+авг!D31+сент!D31</f>
        <v>15.324</v>
      </c>
      <c r="E31" s="25">
        <f>июль!E31+авг!E31+сент!E31</f>
        <v>74.43</v>
      </c>
      <c r="F31" s="25">
        <f t="shared" si="0"/>
        <v>89.754</v>
      </c>
      <c r="G31" s="54">
        <f>июль!G31+авг!G31+сент!G31</f>
        <v>18.007</v>
      </c>
      <c r="H31" s="54">
        <f>июль!H31+авг!H31+сент!H31</f>
        <v>60.251</v>
      </c>
      <c r="I31" s="26">
        <f t="shared" si="1"/>
        <v>78.258</v>
      </c>
      <c r="J31" s="27">
        <f t="shared" si="2"/>
        <v>1.175084834246933</v>
      </c>
      <c r="K31" s="27">
        <f t="shared" si="2"/>
        <v>0.8094988579873705</v>
      </c>
      <c r="L31" s="28">
        <f t="shared" si="2"/>
        <v>0.8719165719633665</v>
      </c>
      <c r="M31" s="55">
        <f>июль!M31+авг!M31+сент!M31</f>
        <v>29044.8</v>
      </c>
      <c r="N31" s="29">
        <f t="shared" si="3"/>
        <v>371.14160852564595</v>
      </c>
    </row>
    <row r="32" spans="1:14" ht="12.75">
      <c r="A32" s="31" t="s">
        <v>13</v>
      </c>
      <c r="B32" s="30"/>
      <c r="C32" s="30"/>
      <c r="D32" s="25">
        <f>июль!D32+авг!D32+сент!D32</f>
        <v>3831</v>
      </c>
      <c r="E32" s="25">
        <f>июль!E32+авг!E32+сент!E32</f>
        <v>12405</v>
      </c>
      <c r="F32" s="25">
        <f t="shared" si="0"/>
        <v>16236</v>
      </c>
      <c r="G32" s="54">
        <f>июль!G32+авг!G32+сент!G32</f>
        <v>3568.7000000000003</v>
      </c>
      <c r="H32" s="54">
        <f>июль!H32+авг!H32+сент!H32</f>
        <v>12062.900000000001</v>
      </c>
      <c r="I32" s="26">
        <f t="shared" si="1"/>
        <v>15631.600000000002</v>
      </c>
      <c r="J32" s="27">
        <f t="shared" si="2"/>
        <v>0.9315322370138346</v>
      </c>
      <c r="K32" s="27">
        <f t="shared" si="2"/>
        <v>0.9724224103184201</v>
      </c>
      <c r="L32" s="28">
        <f t="shared" si="2"/>
        <v>0.9627740822862776</v>
      </c>
      <c r="M32" s="55">
        <f>июль!M32+авг!M32+сент!M32</f>
        <v>91160.75</v>
      </c>
      <c r="N32" s="29">
        <f t="shared" si="3"/>
        <v>5.831824637273215</v>
      </c>
    </row>
    <row r="33" spans="1:14" ht="12.75">
      <c r="A33" s="31" t="s">
        <v>14</v>
      </c>
      <c r="B33" s="30"/>
      <c r="C33" s="30"/>
      <c r="D33" s="25">
        <f>июль!D33+авг!D33+сент!D33</f>
        <v>95.775</v>
      </c>
      <c r="E33" s="25">
        <f>июль!E33+авг!E33+сент!E33</f>
        <v>359.745</v>
      </c>
      <c r="F33" s="25">
        <f t="shared" si="0"/>
        <v>455.52</v>
      </c>
      <c r="G33" s="54">
        <f>июль!G33+авг!G33+сент!G33</f>
        <v>84.81299999999999</v>
      </c>
      <c r="H33" s="54">
        <f>июль!H33+авг!H33+сент!H33</f>
        <v>326.836</v>
      </c>
      <c r="I33" s="26">
        <f t="shared" si="1"/>
        <v>411.649</v>
      </c>
      <c r="J33" s="27">
        <f t="shared" si="2"/>
        <v>0.885544244322631</v>
      </c>
      <c r="K33" s="27">
        <f t="shared" si="2"/>
        <v>0.9085213137083212</v>
      </c>
      <c r="L33" s="28">
        <f t="shared" si="2"/>
        <v>0.9036902880224799</v>
      </c>
      <c r="M33" s="55">
        <f>июль!M33+авг!M33+сент!M33</f>
        <v>10613.2</v>
      </c>
      <c r="N33" s="29">
        <f t="shared" si="3"/>
        <v>25.782159072413634</v>
      </c>
    </row>
    <row r="34" spans="1:14" ht="12.75">
      <c r="A34" s="31" t="s">
        <v>15</v>
      </c>
      <c r="B34" s="30"/>
      <c r="C34" s="30"/>
      <c r="D34" s="25">
        <f>июль!D34+авг!D34+сент!D34</f>
        <v>114.93</v>
      </c>
      <c r="E34" s="25">
        <f>июль!E34+авг!E34+сент!E34</f>
        <v>533.415</v>
      </c>
      <c r="F34" s="25">
        <f t="shared" si="0"/>
        <v>648.345</v>
      </c>
      <c r="G34" s="54">
        <f>июль!G34+авг!G34+сент!G34</f>
        <v>131.969</v>
      </c>
      <c r="H34" s="54">
        <f>июль!H34+авг!H34+сент!H34</f>
        <v>518.996</v>
      </c>
      <c r="I34" s="26">
        <f t="shared" si="1"/>
        <v>650.9649999999999</v>
      </c>
      <c r="J34" s="27">
        <f t="shared" si="2"/>
        <v>1.148255459845123</v>
      </c>
      <c r="K34" s="27">
        <f t="shared" si="2"/>
        <v>0.9729685141962637</v>
      </c>
      <c r="L34" s="28">
        <f t="shared" si="2"/>
        <v>1.004041058387124</v>
      </c>
      <c r="M34" s="55">
        <f>июль!M34+авг!M34+сент!M34</f>
        <v>31756.77</v>
      </c>
      <c r="N34" s="29">
        <f t="shared" si="3"/>
        <v>48.784143540743365</v>
      </c>
    </row>
    <row r="35" spans="1:14" ht="12.75">
      <c r="A35" s="31" t="s">
        <v>16</v>
      </c>
      <c r="B35" s="30"/>
      <c r="C35" s="30"/>
      <c r="D35" s="25">
        <f>июль!D35+авг!D35+сент!D35</f>
        <v>30.648</v>
      </c>
      <c r="E35" s="25">
        <f>июль!E35+авг!E35+сент!E35</f>
        <v>148.86</v>
      </c>
      <c r="F35" s="25">
        <f t="shared" si="0"/>
        <v>179.508</v>
      </c>
      <c r="G35" s="54">
        <f>июль!G35+авг!G35+сент!G35</f>
        <v>31.45</v>
      </c>
      <c r="H35" s="54">
        <f>июль!H35+авг!H35+сент!H35</f>
        <v>124.58099999999999</v>
      </c>
      <c r="I35" s="26">
        <f t="shared" si="1"/>
        <v>156.03099999999998</v>
      </c>
      <c r="J35" s="27">
        <f t="shared" si="2"/>
        <v>1.0261681023231533</v>
      </c>
      <c r="K35" s="27">
        <f t="shared" si="2"/>
        <v>0.8369004433696089</v>
      </c>
      <c r="L35" s="28">
        <f t="shared" si="2"/>
        <v>0.8692147425184391</v>
      </c>
      <c r="M35" s="55">
        <f>июль!M35+авг!M35+сент!M35</f>
        <v>6159.85</v>
      </c>
      <c r="N35" s="29">
        <f t="shared" si="3"/>
        <v>39.47837288743904</v>
      </c>
    </row>
    <row r="36" spans="1:14" ht="12.75">
      <c r="A36" s="31" t="s">
        <v>17</v>
      </c>
      <c r="B36" s="30"/>
      <c r="C36" s="30"/>
      <c r="D36" s="25">
        <f>июль!D36+авг!D36+сент!D36</f>
        <v>95.775</v>
      </c>
      <c r="E36" s="25">
        <f>июль!E36+авг!E36+сент!E36</f>
        <v>372.15</v>
      </c>
      <c r="F36" s="25">
        <f t="shared" si="0"/>
        <v>467.92499999999995</v>
      </c>
      <c r="G36" s="54">
        <f>июль!G36+авг!G36+сент!G36</f>
        <v>90.64299999999999</v>
      </c>
      <c r="H36" s="54">
        <f>июль!H36+авг!H36+сент!H36</f>
        <v>363.26099999999997</v>
      </c>
      <c r="I36" s="26">
        <f t="shared" si="1"/>
        <v>453.90399999999994</v>
      </c>
      <c r="J36" s="27">
        <f t="shared" si="2"/>
        <v>0.9464160793526493</v>
      </c>
      <c r="K36" s="27">
        <f t="shared" si="2"/>
        <v>0.9761144699717855</v>
      </c>
      <c r="L36" s="28">
        <f t="shared" si="2"/>
        <v>0.9700357963348827</v>
      </c>
      <c r="M36" s="55">
        <f>июль!M36+авг!M36+сент!M36</f>
        <v>33293.14</v>
      </c>
      <c r="N36" s="29">
        <f t="shared" si="3"/>
        <v>73.34841728647469</v>
      </c>
    </row>
    <row r="37" spans="1:14" ht="12.75">
      <c r="A37" s="31" t="s">
        <v>18</v>
      </c>
      <c r="B37" s="30"/>
      <c r="C37" s="30"/>
      <c r="D37" s="25">
        <f>июль!D37+авг!D37+сент!D37</f>
        <v>45.97200000000001</v>
      </c>
      <c r="E37" s="25">
        <f>июль!E37+авг!E37+сент!E37</f>
        <v>248.1</v>
      </c>
      <c r="F37" s="25">
        <f t="shared" si="0"/>
        <v>294.072</v>
      </c>
      <c r="G37" s="54">
        <f>июль!G37+авг!G37+сент!G37</f>
        <v>24.755</v>
      </c>
      <c r="H37" s="54">
        <f>июль!H37+авг!H37+сент!H37</f>
        <v>116.93700000000001</v>
      </c>
      <c r="I37" s="26">
        <f t="shared" si="1"/>
        <v>141.692</v>
      </c>
      <c r="J37" s="27">
        <f t="shared" si="2"/>
        <v>0.5384799443139301</v>
      </c>
      <c r="K37" s="27">
        <f t="shared" si="2"/>
        <v>0.4713301088270859</v>
      </c>
      <c r="L37" s="28">
        <f t="shared" si="2"/>
        <v>0.4818275796403602</v>
      </c>
      <c r="M37" s="55">
        <f>июль!M37+авг!M37+сент!M37</f>
        <v>15807.27</v>
      </c>
      <c r="N37" s="29">
        <f t="shared" si="3"/>
        <v>111.56077971939135</v>
      </c>
    </row>
    <row r="38" spans="1:14" ht="12.75">
      <c r="A38" s="31" t="s">
        <v>19</v>
      </c>
      <c r="B38" s="30"/>
      <c r="C38" s="30"/>
      <c r="D38" s="25">
        <f>июль!D38+авг!D38+сент!D38</f>
        <v>34.479</v>
      </c>
      <c r="E38" s="25">
        <f>июль!E38+авг!E38+сент!E38</f>
        <v>136.45499999999998</v>
      </c>
      <c r="F38" s="25">
        <f t="shared" si="0"/>
        <v>170.93399999999997</v>
      </c>
      <c r="G38" s="54">
        <f>июль!G38+авг!G38+сент!G38</f>
        <v>32.665</v>
      </c>
      <c r="H38" s="54">
        <f>июль!H38+авг!H38+сент!H38</f>
        <v>130.554</v>
      </c>
      <c r="I38" s="26">
        <f t="shared" si="1"/>
        <v>163.219</v>
      </c>
      <c r="J38" s="27">
        <f t="shared" si="2"/>
        <v>0.94738826532092</v>
      </c>
      <c r="K38" s="27">
        <f t="shared" si="2"/>
        <v>0.956754974167308</v>
      </c>
      <c r="L38" s="28">
        <f t="shared" si="2"/>
        <v>0.9548656206489056</v>
      </c>
      <c r="M38" s="55">
        <f>июль!M38+авг!M38+сент!M38</f>
        <v>21375.28</v>
      </c>
      <c r="N38" s="29">
        <f t="shared" si="3"/>
        <v>130.96073373810646</v>
      </c>
    </row>
    <row r="39" spans="1:14" ht="12.75">
      <c r="A39" s="31" t="s">
        <v>20</v>
      </c>
      <c r="B39" s="30"/>
      <c r="C39" s="30"/>
      <c r="D39" s="25">
        <f>июль!D39+авг!D39+сент!D39</f>
        <v>363.94500000000005</v>
      </c>
      <c r="E39" s="25">
        <f>июль!E39+авг!E39+сент!E39</f>
        <v>1240.5000000000002</v>
      </c>
      <c r="F39" s="25">
        <f t="shared" si="0"/>
        <v>1604.4450000000002</v>
      </c>
      <c r="G39" s="54">
        <f>июль!G39+авг!G39+сент!G39</f>
        <v>341.60999999999996</v>
      </c>
      <c r="H39" s="54">
        <f>июль!H39+авг!H39+сент!H39</f>
        <v>1189.416</v>
      </c>
      <c r="I39" s="26">
        <f t="shared" si="1"/>
        <v>1531.0259999999998</v>
      </c>
      <c r="J39" s="27">
        <f t="shared" si="2"/>
        <v>0.9386308370770307</v>
      </c>
      <c r="K39" s="27">
        <f t="shared" si="2"/>
        <v>0.9588198307134218</v>
      </c>
      <c r="L39" s="28">
        <f t="shared" si="2"/>
        <v>0.9542402513018519</v>
      </c>
      <c r="M39" s="55">
        <f>июль!M39+авг!M39+сент!M39</f>
        <v>164105.91999999998</v>
      </c>
      <c r="N39" s="29">
        <f t="shared" si="3"/>
        <v>107.18689297242503</v>
      </c>
    </row>
    <row r="40" spans="1:14" ht="12.75">
      <c r="A40" s="31" t="s">
        <v>21</v>
      </c>
      <c r="B40" s="30"/>
      <c r="C40" s="30"/>
      <c r="D40" s="25">
        <f>июль!D40+авг!D40+сент!D40</f>
        <v>383.1</v>
      </c>
      <c r="E40" s="25">
        <f>июль!E40+авг!E40+сент!E40</f>
        <v>1240.5000000000002</v>
      </c>
      <c r="F40" s="25">
        <f t="shared" si="0"/>
        <v>1623.6000000000004</v>
      </c>
      <c r="G40" s="54">
        <f>июль!G40+авг!G40+сент!G40</f>
        <v>295.6</v>
      </c>
      <c r="H40" s="54">
        <f>июль!H40+авг!H40+сент!H40</f>
        <v>1164.6</v>
      </c>
      <c r="I40" s="26">
        <f t="shared" si="1"/>
        <v>1460.1999999999998</v>
      </c>
      <c r="J40" s="27">
        <f t="shared" si="2"/>
        <v>0.7716001044113808</v>
      </c>
      <c r="K40" s="27">
        <f t="shared" si="2"/>
        <v>0.9388149939540505</v>
      </c>
      <c r="L40" s="28">
        <f t="shared" si="2"/>
        <v>0.8993594481399356</v>
      </c>
      <c r="M40" s="55">
        <f>июль!M40+авг!M40+сент!M40</f>
        <v>74745.97</v>
      </c>
      <c r="N40" s="29">
        <f t="shared" si="3"/>
        <v>51.1888576907273</v>
      </c>
    </row>
    <row r="41" spans="1:14" ht="12.75">
      <c r="A41" s="31" t="s">
        <v>22</v>
      </c>
      <c r="B41" s="30"/>
      <c r="C41" s="30"/>
      <c r="D41" s="25">
        <f>июль!D41+авг!D41+сент!D41</f>
        <v>459.72</v>
      </c>
      <c r="E41" s="25">
        <f>июль!E41+авг!E41+сент!E41</f>
        <v>1736.7000000000003</v>
      </c>
      <c r="F41" s="25">
        <f t="shared" si="0"/>
        <v>2196.42</v>
      </c>
      <c r="G41" s="54">
        <f>июль!G41+авг!G41+сент!G41</f>
        <v>405.26599999999996</v>
      </c>
      <c r="H41" s="54">
        <f>июль!H41+авг!H41+сент!H41</f>
        <v>1653.307</v>
      </c>
      <c r="I41" s="26">
        <f t="shared" si="1"/>
        <v>2058.573</v>
      </c>
      <c r="J41" s="27">
        <f t="shared" si="2"/>
        <v>0.8815496389106411</v>
      </c>
      <c r="K41" s="27">
        <f t="shared" si="2"/>
        <v>0.9519819197328265</v>
      </c>
      <c r="L41" s="28">
        <f t="shared" si="2"/>
        <v>0.9372401453273963</v>
      </c>
      <c r="M41" s="55">
        <f>июль!M41+авг!M41+сент!M41</f>
        <v>78624.62</v>
      </c>
      <c r="N41" s="29">
        <f t="shared" si="3"/>
        <v>38.19374877645826</v>
      </c>
    </row>
    <row r="42" spans="1:14" ht="12.75">
      <c r="A42" s="31" t="s">
        <v>23</v>
      </c>
      <c r="B42" s="30"/>
      <c r="C42" s="30"/>
      <c r="D42" s="25">
        <f>июль!D42+авг!D42+сент!D42</f>
        <v>689.58</v>
      </c>
      <c r="E42" s="25">
        <f>июль!E42+авг!E42+сент!E42</f>
        <v>2729.1</v>
      </c>
      <c r="F42" s="25">
        <f t="shared" si="0"/>
        <v>3418.68</v>
      </c>
      <c r="G42" s="54">
        <f>июль!G42+авг!G42+сент!G42</f>
        <v>617.6779999999999</v>
      </c>
      <c r="H42" s="54">
        <f>июль!H42+авг!H42+сент!H42</f>
        <v>2582.793</v>
      </c>
      <c r="I42" s="26">
        <f t="shared" si="1"/>
        <v>3200.471</v>
      </c>
      <c r="J42" s="27">
        <f t="shared" si="2"/>
        <v>0.8957307346500767</v>
      </c>
      <c r="K42" s="27">
        <f t="shared" si="2"/>
        <v>0.9463900186874795</v>
      </c>
      <c r="L42" s="28">
        <f t="shared" si="2"/>
        <v>0.936171563293435</v>
      </c>
      <c r="M42" s="55">
        <f>июль!M42+авг!M42+сент!M42</f>
        <v>178658.63</v>
      </c>
      <c r="N42" s="29">
        <f t="shared" si="3"/>
        <v>55.82260548525514</v>
      </c>
    </row>
    <row r="43" spans="1:14" ht="12.75">
      <c r="A43" s="31" t="s">
        <v>24</v>
      </c>
      <c r="B43" s="30"/>
      <c r="C43" s="30"/>
      <c r="D43" s="25">
        <f>июль!D43+авг!D43+сент!D43</f>
        <v>153.24</v>
      </c>
      <c r="E43" s="25">
        <f>июль!E43+авг!E43+сент!E43</f>
        <v>620.2500000000001</v>
      </c>
      <c r="F43" s="25">
        <f t="shared" si="0"/>
        <v>773.4900000000001</v>
      </c>
      <c r="G43" s="54">
        <f>июль!G43+авг!G43+сент!G43</f>
        <v>152.192</v>
      </c>
      <c r="H43" s="54">
        <f>июль!H43+авг!H43+сент!H43</f>
        <v>557.735</v>
      </c>
      <c r="I43" s="26">
        <f t="shared" si="1"/>
        <v>709.927</v>
      </c>
      <c r="J43" s="27">
        <f t="shared" si="2"/>
        <v>0.9931610545549465</v>
      </c>
      <c r="K43" s="27">
        <f t="shared" si="2"/>
        <v>0.899209995969367</v>
      </c>
      <c r="L43" s="28">
        <f t="shared" si="2"/>
        <v>0.9178231134209879</v>
      </c>
      <c r="M43" s="55">
        <f>июль!M43+авг!M43+сент!M43</f>
        <v>38816.490000000005</v>
      </c>
      <c r="N43" s="29">
        <f t="shared" si="3"/>
        <v>54.676734368463244</v>
      </c>
    </row>
    <row r="44" spans="1:14" ht="12.75">
      <c r="A44" s="32" t="s">
        <v>25</v>
      </c>
      <c r="B44" s="30"/>
      <c r="C44" s="30"/>
      <c r="D44" s="25">
        <f>июль!D44+авг!D44+сент!D44</f>
        <v>229.86</v>
      </c>
      <c r="E44" s="25">
        <f>июль!E44+авг!E44+сент!E44</f>
        <v>992.4</v>
      </c>
      <c r="F44" s="25">
        <f>D44+E44</f>
        <v>1222.26</v>
      </c>
      <c r="G44" s="54">
        <f>июль!G44+авг!G44+сент!G44</f>
        <v>209.741</v>
      </c>
      <c r="H44" s="54">
        <f>июль!H44+авг!H44+сент!H44</f>
        <v>833.2429999999999</v>
      </c>
      <c r="I44" s="26">
        <f>G44+H44</f>
        <v>1042.984</v>
      </c>
      <c r="J44" s="27">
        <f t="shared" si="2"/>
        <v>0.9124728095362394</v>
      </c>
      <c r="K44" s="27">
        <f t="shared" si="2"/>
        <v>0.8396241434905279</v>
      </c>
      <c r="L44" s="28">
        <f t="shared" si="2"/>
        <v>0.8533241699802006</v>
      </c>
      <c r="M44" s="55">
        <f>июль!M44+авг!M44+сент!M44</f>
        <v>73983.92000000001</v>
      </c>
      <c r="N44" s="29">
        <f>IF(I44&gt;0,M44/I44,0)</f>
        <v>70.93485614352667</v>
      </c>
    </row>
    <row r="45" spans="1:14" s="20" customFormat="1" ht="12.75">
      <c r="A45" s="44" t="s">
        <v>54</v>
      </c>
      <c r="B45" s="45"/>
      <c r="C45" s="45"/>
      <c r="D45" s="46">
        <f>SUM(D22:D44)</f>
        <v>8757.666000000001</v>
      </c>
      <c r="E45" s="46">
        <f>SUM(E22:E44)</f>
        <v>31198.575000000004</v>
      </c>
      <c r="F45" s="46">
        <f>D45+E45</f>
        <v>39956.24100000001</v>
      </c>
      <c r="G45" s="56">
        <f>июль!G45+авг!G45+сент!G45</f>
        <v>8117.511999999999</v>
      </c>
      <c r="H45" s="56">
        <f>июль!H45+авг!H45+сент!H45</f>
        <v>29531.765000000003</v>
      </c>
      <c r="I45" s="47">
        <f>G45+H45</f>
        <v>37649.277</v>
      </c>
      <c r="J45" s="59">
        <f>IF(G45&gt;0,G45/D45,0)</f>
        <v>0.9269035836717223</v>
      </c>
      <c r="K45" s="59">
        <f>IF(E45&gt;0,H45/E45,0)</f>
        <v>0.946574162441714</v>
      </c>
      <c r="L45" s="59">
        <f>IF(F45&gt;0,I45/F45,0)</f>
        <v>0.9422627368775754</v>
      </c>
      <c r="M45" s="57">
        <f>июль!M45+авг!M45+сент!M45</f>
        <v>2304142.83</v>
      </c>
      <c r="N45" s="60"/>
    </row>
    <row r="46" ht="13.5" thickBot="1"/>
    <row r="47" spans="1:14" s="37" customFormat="1" ht="21" customHeight="1" thickBot="1">
      <c r="A47" s="33" t="s">
        <v>48</v>
      </c>
      <c r="B47" s="34">
        <f>SUM(B22:B24)</f>
        <v>0</v>
      </c>
      <c r="C47" s="34">
        <f>SUM(C22:C24)</f>
        <v>0</v>
      </c>
      <c r="D47" s="35">
        <f aca="true" t="shared" si="4" ref="D47:I47">SUM(D22:D24)</f>
        <v>344.79</v>
      </c>
      <c r="E47" s="35">
        <f t="shared" si="4"/>
        <v>1290.1200000000001</v>
      </c>
      <c r="F47" s="35">
        <f t="shared" si="4"/>
        <v>1634.91</v>
      </c>
      <c r="G47" s="35">
        <f t="shared" si="4"/>
        <v>309.531</v>
      </c>
      <c r="H47" s="35">
        <f t="shared" si="4"/>
        <v>1227.929</v>
      </c>
      <c r="I47" s="35">
        <f t="shared" si="4"/>
        <v>1537.46</v>
      </c>
      <c r="J47" s="61">
        <f>IF(G47=0,0,G47/D47)</f>
        <v>0.8977377534151222</v>
      </c>
      <c r="K47" s="61">
        <f>IF(H47=0,0,H47/E47)</f>
        <v>0.9517944067218553</v>
      </c>
      <c r="L47" s="61">
        <f>IF(I47&gt;0,I47/F47,0)</f>
        <v>0.9403942724675975</v>
      </c>
      <c r="M47" s="58">
        <f>SUM(M22:M24)</f>
        <v>454309.35</v>
      </c>
      <c r="N47" s="36">
        <f>IF(M47=0,0,M47/I47)</f>
        <v>295.49344373186943</v>
      </c>
    </row>
  </sheetData>
  <sheetProtection password="CC53" sheet="1" formatCells="0" formatColumns="0" formatRows="0" insertColumns="0" insertRows="0" insertHyperlinks="0" deleteColumns="0" deleteRows="0" sort="0" autoFilter="0" pivotTables="0"/>
  <mergeCells count="19">
    <mergeCell ref="L16:M16"/>
    <mergeCell ref="L17:M17"/>
    <mergeCell ref="A15:B15"/>
    <mergeCell ref="L15:M15"/>
    <mergeCell ref="C8:C10"/>
    <mergeCell ref="D8:F10"/>
    <mergeCell ref="A11:B11"/>
    <mergeCell ref="L13:N13"/>
    <mergeCell ref="L14:M14"/>
    <mergeCell ref="E2:G2"/>
    <mergeCell ref="A1:G1"/>
    <mergeCell ref="A19:N19"/>
    <mergeCell ref="A20:A21"/>
    <mergeCell ref="B20:C20"/>
    <mergeCell ref="D20:F20"/>
    <mergeCell ref="G20:I20"/>
    <mergeCell ref="J20:L20"/>
    <mergeCell ref="M20:M21"/>
    <mergeCell ref="N20:N21"/>
  </mergeCells>
  <printOptions horizontalCentered="1"/>
  <pageMargins left="0.31496062992125984" right="0.31496062992125984" top="0.7480314960629921" bottom="0.35433070866141736" header="0" footer="0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7">
      <selection activeCell="E22" sqref="E22"/>
    </sheetView>
  </sheetViews>
  <sheetFormatPr defaultColWidth="9.125" defaultRowHeight="12.75"/>
  <cols>
    <col min="1" max="1" width="32.625" style="2" customWidth="1"/>
    <col min="2" max="2" width="13.875" style="2" customWidth="1"/>
    <col min="3" max="3" width="12.125" style="2" customWidth="1"/>
    <col min="4" max="12" width="11.375" style="2" customWidth="1"/>
    <col min="13" max="13" width="16.125" style="2" customWidth="1"/>
    <col min="14" max="14" width="11.375" style="2" customWidth="1"/>
    <col min="15" max="15" width="10.50390625" style="2" customWidth="1"/>
    <col min="16" max="16384" width="9.125" style="2" customWidth="1"/>
  </cols>
  <sheetData>
    <row r="1" spans="1:14" ht="24" customHeight="1">
      <c r="A1" s="171" t="s">
        <v>91</v>
      </c>
      <c r="B1" s="171"/>
      <c r="C1" s="171"/>
      <c r="D1" s="171"/>
      <c r="E1" s="171"/>
      <c r="F1" s="171"/>
      <c r="G1" s="171"/>
      <c r="H1" s="119">
        <f>янв!H1</f>
        <v>2023</v>
      </c>
      <c r="I1" s="1" t="s">
        <v>75</v>
      </c>
      <c r="J1" s="1"/>
      <c r="K1" s="1"/>
      <c r="L1" s="1"/>
      <c r="M1" s="1"/>
      <c r="N1" s="1"/>
    </row>
    <row r="2" spans="1:7" ht="12.75">
      <c r="A2" s="3" t="s">
        <v>26</v>
      </c>
      <c r="B2" s="52"/>
      <c r="E2" s="183" t="s">
        <v>55</v>
      </c>
      <c r="F2" s="183"/>
      <c r="G2" s="183"/>
    </row>
    <row r="3" spans="1:2" ht="12.75">
      <c r="A3" s="3" t="s">
        <v>0</v>
      </c>
      <c r="B3" s="52"/>
    </row>
    <row r="4" spans="1:2" ht="12.75">
      <c r="A4" s="4" t="s">
        <v>30</v>
      </c>
      <c r="B4" s="53">
        <f>янв!B4</f>
        <v>448</v>
      </c>
    </row>
    <row r="5" spans="1:2" ht="12.75">
      <c r="A5" s="5" t="s">
        <v>28</v>
      </c>
      <c r="B5" s="140">
        <f>B6+B7</f>
        <v>50610</v>
      </c>
    </row>
    <row r="6" spans="1:2" ht="12.75">
      <c r="A6" s="6" t="s">
        <v>27</v>
      </c>
      <c r="B6" s="141">
        <f>'1 полуг'!B6+'3 кв'!B6</f>
        <v>12626</v>
      </c>
    </row>
    <row r="7" spans="1:2" ht="13.5" thickBot="1">
      <c r="A7" s="7" t="s">
        <v>29</v>
      </c>
      <c r="B7" s="143">
        <f>'1 полуг'!B7+'3 кв'!B7</f>
        <v>37984</v>
      </c>
    </row>
    <row r="8" spans="1:6" ht="12.75">
      <c r="A8" s="8" t="s">
        <v>31</v>
      </c>
      <c r="B8" s="142">
        <f>'1 полуг'!B8+'3 кв'!B8</f>
        <v>7006460.180000001</v>
      </c>
      <c r="C8" s="184"/>
      <c r="D8" s="187"/>
      <c r="E8" s="183"/>
      <c r="F8" s="183"/>
    </row>
    <row r="9" spans="1:6" ht="12.75">
      <c r="A9" s="9" t="s">
        <v>32</v>
      </c>
      <c r="B9" s="129">
        <f>'1 полуг'!B9+'3 кв'!B9</f>
        <v>6962014.39</v>
      </c>
      <c r="C9" s="184"/>
      <c r="D9" s="187"/>
      <c r="E9" s="183"/>
      <c r="F9" s="183"/>
    </row>
    <row r="10" spans="1:6" ht="13.5" thickBot="1">
      <c r="A10" s="11" t="s">
        <v>33</v>
      </c>
      <c r="B10" s="130">
        <f>B8-B9</f>
        <v>44445.79000000097</v>
      </c>
      <c r="C10" s="184"/>
      <c r="D10" s="187"/>
      <c r="E10" s="183"/>
      <c r="F10" s="183"/>
    </row>
    <row r="11" spans="1:3" ht="12.75">
      <c r="A11" s="185" t="s">
        <v>40</v>
      </c>
      <c r="B11" s="185"/>
      <c r="C11" s="12"/>
    </row>
    <row r="12" spans="1:3" ht="12.75">
      <c r="A12" s="3" t="s">
        <v>34</v>
      </c>
      <c r="B12" s="13">
        <v>131</v>
      </c>
      <c r="C12" s="12"/>
    </row>
    <row r="13" spans="1:14" ht="12.75" customHeight="1">
      <c r="A13" s="3" t="s">
        <v>2</v>
      </c>
      <c r="B13" s="131">
        <f>IF(M45&gt;0,B8/B5,0)</f>
        <v>138.44023276032405</v>
      </c>
      <c r="C13" s="12"/>
      <c r="L13" s="176" t="s">
        <v>49</v>
      </c>
      <c r="M13" s="176"/>
      <c r="N13" s="176"/>
    </row>
    <row r="14" spans="1:14" ht="12.75">
      <c r="A14" s="14" t="s">
        <v>3</v>
      </c>
      <c r="B14" s="15">
        <f>B13/B12</f>
        <v>1.0567956699261378</v>
      </c>
      <c r="E14" s="42"/>
      <c r="L14" s="177" t="s">
        <v>50</v>
      </c>
      <c r="M14" s="177"/>
      <c r="N14" s="41">
        <v>2</v>
      </c>
    </row>
    <row r="15" spans="1:14" ht="12.75">
      <c r="A15" s="182" t="s">
        <v>41</v>
      </c>
      <c r="B15" s="182"/>
      <c r="C15" s="12"/>
      <c r="E15" s="43"/>
      <c r="L15" s="177" t="s">
        <v>53</v>
      </c>
      <c r="M15" s="177"/>
      <c r="N15" s="41">
        <v>1.25</v>
      </c>
    </row>
    <row r="16" spans="1:14" ht="12.75">
      <c r="A16" s="3" t="s">
        <v>42</v>
      </c>
      <c r="B16" s="16">
        <f>J45</f>
        <v>0.9139699302595885</v>
      </c>
      <c r="C16" s="12"/>
      <c r="L16" s="177" t="s">
        <v>52</v>
      </c>
      <c r="M16" s="177"/>
      <c r="N16" s="41">
        <v>2.63</v>
      </c>
    </row>
    <row r="17" spans="1:14" ht="13.5" thickBot="1">
      <c r="A17" s="3" t="s">
        <v>43</v>
      </c>
      <c r="B17" s="17">
        <f>K45</f>
        <v>0.9260498927245292</v>
      </c>
      <c r="C17" s="12"/>
      <c r="L17" s="177" t="s">
        <v>51</v>
      </c>
      <c r="M17" s="177"/>
      <c r="N17" s="41">
        <v>8.33</v>
      </c>
    </row>
    <row r="18" spans="1:3" ht="18" thickBot="1">
      <c r="A18" s="18" t="s">
        <v>44</v>
      </c>
      <c r="B18" s="19">
        <f>L45</f>
        <v>0.9232469619864483</v>
      </c>
      <c r="C18" s="12"/>
    </row>
    <row r="19" spans="1:14" ht="18.75" customHeight="1">
      <c r="A19" s="174" t="s">
        <v>1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</row>
    <row r="20" spans="1:14" s="20" customFormat="1" ht="39" customHeight="1">
      <c r="A20" s="186"/>
      <c r="B20" s="179" t="s">
        <v>37</v>
      </c>
      <c r="C20" s="179"/>
      <c r="D20" s="178" t="s">
        <v>38</v>
      </c>
      <c r="E20" s="178"/>
      <c r="F20" s="179"/>
      <c r="G20" s="178" t="s">
        <v>39</v>
      </c>
      <c r="H20" s="179"/>
      <c r="I20" s="179"/>
      <c r="J20" s="180" t="s">
        <v>4</v>
      </c>
      <c r="K20" s="181"/>
      <c r="L20" s="181"/>
      <c r="M20" s="172" t="s">
        <v>46</v>
      </c>
      <c r="N20" s="172" t="s">
        <v>47</v>
      </c>
    </row>
    <row r="21" spans="1:14" s="20" customFormat="1" ht="12.75">
      <c r="A21" s="186"/>
      <c r="B21" s="48" t="s">
        <v>27</v>
      </c>
      <c r="C21" s="48" t="s">
        <v>29</v>
      </c>
      <c r="D21" s="21" t="s">
        <v>27</v>
      </c>
      <c r="E21" s="21" t="s">
        <v>29</v>
      </c>
      <c r="F21" s="21" t="s">
        <v>5</v>
      </c>
      <c r="G21" s="21" t="s">
        <v>27</v>
      </c>
      <c r="H21" s="21" t="s">
        <v>29</v>
      </c>
      <c r="I21" s="21" t="s">
        <v>5</v>
      </c>
      <c r="J21" s="21" t="s">
        <v>27</v>
      </c>
      <c r="K21" s="21" t="s">
        <v>29</v>
      </c>
      <c r="L21" s="22" t="s">
        <v>45</v>
      </c>
      <c r="M21" s="173"/>
      <c r="N21" s="173"/>
    </row>
    <row r="22" spans="1:14" ht="12.75">
      <c r="A22" s="23" t="s">
        <v>6</v>
      </c>
      <c r="B22" s="30"/>
      <c r="C22" s="30"/>
      <c r="D22" s="25">
        <f>'1 полуг'!D22+'3 кв'!D22</f>
        <v>631.3</v>
      </c>
      <c r="E22" s="25">
        <f>'1 полуг'!E22+'3 кв'!E22</f>
        <v>2089.12</v>
      </c>
      <c r="F22" s="25">
        <f>D22+E22</f>
        <v>2720.42</v>
      </c>
      <c r="G22" s="54">
        <f>'1 полуг'!G22+'3 кв'!G22</f>
        <v>569.231</v>
      </c>
      <c r="H22" s="54">
        <f>'1 полуг'!H22+'3 кв'!H22</f>
        <v>2122.344</v>
      </c>
      <c r="I22" s="26">
        <f>G22+H22</f>
        <v>2691.575</v>
      </c>
      <c r="J22" s="27">
        <f>IF(D22&gt;0,G22/D22,0)</f>
        <v>0.9016806589577063</v>
      </c>
      <c r="K22" s="27">
        <f>IF(E22&gt;0,H22/E22,0)</f>
        <v>1.0159033468637513</v>
      </c>
      <c r="L22" s="28">
        <f>IF(I22&gt;0,I22/F22,0)</f>
        <v>0.9893968578381278</v>
      </c>
      <c r="M22" s="55">
        <f>'1 полуг'!M22+'3 кв'!M22</f>
        <v>843986.6200000001</v>
      </c>
      <c r="N22" s="29">
        <f>IF(I22&gt;0,M22/I22,0)</f>
        <v>313.56607934016336</v>
      </c>
    </row>
    <row r="23" spans="1:14" ht="12.75">
      <c r="A23" s="23" t="s">
        <v>7</v>
      </c>
      <c r="B23" s="30"/>
      <c r="C23" s="30"/>
      <c r="D23" s="25">
        <f>'1 полуг'!D23+'3 кв'!D23</f>
        <v>252.52</v>
      </c>
      <c r="E23" s="25">
        <f>'1 полуг'!E23+'3 кв'!E23</f>
        <v>911.616</v>
      </c>
      <c r="F23" s="25">
        <f aca="true" t="shared" si="0" ref="F23:F43">D23+E23</f>
        <v>1164.136</v>
      </c>
      <c r="G23" s="54">
        <f>'1 полуг'!G23+'3 кв'!G23</f>
        <v>233.37600000000003</v>
      </c>
      <c r="H23" s="54">
        <f>'1 полуг'!H23+'3 кв'!H23</f>
        <v>827.365</v>
      </c>
      <c r="I23" s="26">
        <f aca="true" t="shared" si="1" ref="I23:I43">G23+H23</f>
        <v>1060.741</v>
      </c>
      <c r="J23" s="27">
        <f aca="true" t="shared" si="2" ref="J23:L44">IF(D23&gt;0,G23/D23,0)</f>
        <v>0.9241881831142089</v>
      </c>
      <c r="K23" s="27">
        <f t="shared" si="2"/>
        <v>0.907580604114013</v>
      </c>
      <c r="L23" s="28">
        <f t="shared" si="2"/>
        <v>0.9111830576496217</v>
      </c>
      <c r="M23" s="55">
        <f>'1 полуг'!M23+'3 кв'!M23</f>
        <v>263304.93000000005</v>
      </c>
      <c r="N23" s="29">
        <f aca="true" t="shared" si="3" ref="N23:N43">IF(I23&gt;0,M23/I23,0)</f>
        <v>248.22735238856615</v>
      </c>
    </row>
    <row r="24" spans="1:14" ht="12.75">
      <c r="A24" s="23" t="s">
        <v>97</v>
      </c>
      <c r="B24" s="30"/>
      <c r="C24" s="30"/>
      <c r="D24" s="25">
        <f>'1 полуг'!D24+'3 кв'!D24</f>
        <v>252.52</v>
      </c>
      <c r="E24" s="25">
        <f>'1 полуг'!E24+'3 кв'!E24</f>
        <v>949.6000000000001</v>
      </c>
      <c r="F24" s="25">
        <f>D24+E24</f>
        <v>1202.1200000000001</v>
      </c>
      <c r="G24" s="54">
        <f>'1 полуг'!G24+'3 кв'!G24</f>
        <v>225.022</v>
      </c>
      <c r="H24" s="54">
        <f>'1 полуг'!H24+'3 кв'!H24</f>
        <v>821.923</v>
      </c>
      <c r="I24" s="26">
        <f>G24+H24</f>
        <v>1046.945</v>
      </c>
      <c r="J24" s="27">
        <f>IF(D24&gt;0,G24/D24,0)</f>
        <v>0.8911056549976238</v>
      </c>
      <c r="K24" s="27">
        <f>IF(E24&gt;0,H24/E24,0)</f>
        <v>0.865546545914069</v>
      </c>
      <c r="L24" s="28">
        <f>IF(F24&gt;0,I24/F24,0)</f>
        <v>0.8709155491964196</v>
      </c>
      <c r="M24" s="55">
        <f>'1 полуг'!M24+'3 кв'!M24</f>
        <v>284292.36</v>
      </c>
      <c r="N24" s="29">
        <f>IF(I24&gt;0,M24/I24,0)</f>
        <v>271.5446943249168</v>
      </c>
    </row>
    <row r="25" spans="1:14" ht="12.75">
      <c r="A25" s="31" t="s">
        <v>8</v>
      </c>
      <c r="B25" s="30"/>
      <c r="C25" s="30"/>
      <c r="D25" s="25">
        <f>'1 полуг'!D25+'3 кв'!D25</f>
        <v>404.032</v>
      </c>
      <c r="E25" s="25">
        <f>'1 полуг'!E25+'3 кв'!E25</f>
        <v>1405.408</v>
      </c>
      <c r="F25" s="25">
        <f t="shared" si="0"/>
        <v>1809.4399999999998</v>
      </c>
      <c r="G25" s="54">
        <f>'1 полуг'!G25+'3 кв'!G25</f>
        <v>353.627</v>
      </c>
      <c r="H25" s="54">
        <f>'1 полуг'!H25+'3 кв'!H25</f>
        <v>1217.611</v>
      </c>
      <c r="I25" s="26">
        <f t="shared" si="1"/>
        <v>1571.238</v>
      </c>
      <c r="J25" s="27">
        <f t="shared" si="2"/>
        <v>0.875245030096626</v>
      </c>
      <c r="K25" s="27">
        <f t="shared" si="2"/>
        <v>0.8663754582299235</v>
      </c>
      <c r="L25" s="28">
        <f t="shared" si="2"/>
        <v>0.8683559554337255</v>
      </c>
      <c r="M25" s="55">
        <f>'1 полуг'!M25+'3 кв'!M25</f>
        <v>357996.42</v>
      </c>
      <c r="N25" s="29">
        <f t="shared" si="3"/>
        <v>227.8435348432255</v>
      </c>
    </row>
    <row r="26" spans="1:14" ht="12.75">
      <c r="A26" s="31" t="s">
        <v>35</v>
      </c>
      <c r="B26" s="30"/>
      <c r="C26" s="30"/>
      <c r="D26" s="25">
        <f>'1 полуг'!D26+'3 кв'!D26</f>
        <v>227.268</v>
      </c>
      <c r="E26" s="25">
        <f>'1 полуг'!E26+'3 кв'!E26</f>
        <v>797.664</v>
      </c>
      <c r="F26" s="25">
        <f t="shared" si="0"/>
        <v>1024.932</v>
      </c>
      <c r="G26" s="54">
        <f>'1 полуг'!G26+'3 кв'!G26</f>
        <v>233.67</v>
      </c>
      <c r="H26" s="54">
        <f>'1 полуг'!H26+'3 кв'!H26</f>
        <v>797.9060000000001</v>
      </c>
      <c r="I26" s="26">
        <f t="shared" si="1"/>
        <v>1031.576</v>
      </c>
      <c r="J26" s="27">
        <f t="shared" si="2"/>
        <v>1.028169385923227</v>
      </c>
      <c r="K26" s="27">
        <f t="shared" si="2"/>
        <v>1.0003033858867896</v>
      </c>
      <c r="L26" s="28">
        <f t="shared" si="2"/>
        <v>1.006482381270172</v>
      </c>
      <c r="M26" s="55">
        <f>'1 полуг'!M26+'3 кв'!M26</f>
        <v>676182.5</v>
      </c>
      <c r="N26" s="29">
        <f t="shared" si="3"/>
        <v>655.48490852831</v>
      </c>
    </row>
    <row r="27" spans="1:14" ht="12.75">
      <c r="A27" s="31" t="s">
        <v>36</v>
      </c>
      <c r="B27" s="30"/>
      <c r="C27" s="30"/>
      <c r="D27" s="25">
        <f>'1 полуг'!D27+'3 кв'!D27</f>
        <v>113.634</v>
      </c>
      <c r="E27" s="25">
        <f>'1 полуг'!E27+'3 кв'!E27</f>
        <v>417.82399999999996</v>
      </c>
      <c r="F27" s="25">
        <f t="shared" si="0"/>
        <v>531.458</v>
      </c>
      <c r="G27" s="54">
        <f>'1 полуг'!G27+'3 кв'!G27</f>
        <v>101.797</v>
      </c>
      <c r="H27" s="54">
        <f>'1 полуг'!H27+'3 кв'!H27</f>
        <v>421.241</v>
      </c>
      <c r="I27" s="26">
        <f t="shared" si="1"/>
        <v>523.038</v>
      </c>
      <c r="J27" s="27">
        <f t="shared" si="2"/>
        <v>0.8958322333104528</v>
      </c>
      <c r="K27" s="27">
        <f t="shared" si="2"/>
        <v>1.0081780845523474</v>
      </c>
      <c r="L27" s="28">
        <f t="shared" si="2"/>
        <v>0.9841567913174701</v>
      </c>
      <c r="M27" s="55">
        <f>'1 полуг'!M27+'3 кв'!M27</f>
        <v>61615.39</v>
      </c>
      <c r="N27" s="29">
        <f t="shared" si="3"/>
        <v>117.80289386239623</v>
      </c>
    </row>
    <row r="28" spans="1:14" ht="12.75">
      <c r="A28" s="32" t="s">
        <v>9</v>
      </c>
      <c r="B28" s="30"/>
      <c r="C28" s="30"/>
      <c r="D28" s="25">
        <f>'1 полуг'!D28+'3 кв'!D28</f>
        <v>4924.14</v>
      </c>
      <c r="E28" s="25">
        <f>'1 полуг'!E28+'3 кв'!E28</f>
        <v>17092.8</v>
      </c>
      <c r="F28" s="25">
        <f t="shared" si="0"/>
        <v>22016.94</v>
      </c>
      <c r="G28" s="54">
        <f>'1 полуг'!G28+'3 кв'!G28</f>
        <v>4505.326</v>
      </c>
      <c r="H28" s="54">
        <f>'1 полуг'!H28+'3 кв'!H28</f>
        <v>15456.762999999999</v>
      </c>
      <c r="I28" s="26">
        <f t="shared" si="1"/>
        <v>19962.089</v>
      </c>
      <c r="J28" s="27">
        <f t="shared" si="2"/>
        <v>0.914946772431328</v>
      </c>
      <c r="K28" s="27">
        <f t="shared" si="2"/>
        <v>0.9042850205934663</v>
      </c>
      <c r="L28" s="28">
        <f t="shared" si="2"/>
        <v>0.9066695462675558</v>
      </c>
      <c r="M28" s="55">
        <f>'1 полуг'!M28+'3 кв'!M28</f>
        <v>1264339.0699999998</v>
      </c>
      <c r="N28" s="29">
        <f t="shared" si="3"/>
        <v>63.3370119730455</v>
      </c>
    </row>
    <row r="29" spans="1:14" ht="12.75">
      <c r="A29" s="31" t="s">
        <v>10</v>
      </c>
      <c r="B29" s="30"/>
      <c r="C29" s="30"/>
      <c r="D29" s="25">
        <f>'1 полуг'!D29+'3 кв'!D29</f>
        <v>378.78000000000003</v>
      </c>
      <c r="E29" s="25">
        <f>'1 полуг'!E29+'3 кв'!E29</f>
        <v>1519.3600000000001</v>
      </c>
      <c r="F29" s="25">
        <f t="shared" si="0"/>
        <v>1898.14</v>
      </c>
      <c r="G29" s="54">
        <f>'1 полуг'!G29+'3 кв'!G29</f>
        <v>340.866</v>
      </c>
      <c r="H29" s="54">
        <f>'1 полуг'!H29+'3 кв'!H29</f>
        <v>1290.471</v>
      </c>
      <c r="I29" s="26">
        <f t="shared" si="1"/>
        <v>1631.337</v>
      </c>
      <c r="J29" s="27">
        <f t="shared" si="2"/>
        <v>0.8999049580231268</v>
      </c>
      <c r="K29" s="27">
        <f t="shared" si="2"/>
        <v>0.8493517007160909</v>
      </c>
      <c r="L29" s="28">
        <f t="shared" si="2"/>
        <v>0.8594397673511964</v>
      </c>
      <c r="M29" s="55">
        <f>'1 полуг'!M29+'3 кв'!M29</f>
        <v>546539.3999999999</v>
      </c>
      <c r="N29" s="29">
        <f t="shared" si="3"/>
        <v>335.02544232123705</v>
      </c>
    </row>
    <row r="30" spans="1:14" ht="12.75">
      <c r="A30" s="31" t="s">
        <v>11</v>
      </c>
      <c r="B30" s="30"/>
      <c r="C30" s="30"/>
      <c r="D30" s="25">
        <f>'1 полуг'!D30+'3 кв'!D30</f>
        <v>113.634</v>
      </c>
      <c r="E30" s="25">
        <f>'1 полуг'!E30+'3 кв'!E30</f>
        <v>417.82399999999996</v>
      </c>
      <c r="F30" s="25">
        <f t="shared" si="0"/>
        <v>531.458</v>
      </c>
      <c r="G30" s="54">
        <f>'1 полуг'!G30+'3 кв'!G30</f>
        <v>104.499</v>
      </c>
      <c r="H30" s="54">
        <f>'1 полуг'!H30+'3 кв'!H30</f>
        <v>384.55199999999996</v>
      </c>
      <c r="I30" s="26">
        <f t="shared" si="1"/>
        <v>489.05099999999993</v>
      </c>
      <c r="J30" s="27">
        <f t="shared" si="2"/>
        <v>0.9196103278948201</v>
      </c>
      <c r="K30" s="27">
        <f t="shared" si="2"/>
        <v>0.9203683847744505</v>
      </c>
      <c r="L30" s="28">
        <f t="shared" si="2"/>
        <v>0.9202063004037948</v>
      </c>
      <c r="M30" s="55">
        <f>'1 полуг'!M30+'3 кв'!M30</f>
        <v>87540.07999999999</v>
      </c>
      <c r="N30" s="29">
        <f t="shared" si="3"/>
        <v>178.99989980595072</v>
      </c>
    </row>
    <row r="31" spans="1:14" ht="12.75">
      <c r="A31" s="31" t="s">
        <v>12</v>
      </c>
      <c r="B31" s="30"/>
      <c r="C31" s="30"/>
      <c r="D31" s="25">
        <f>'1 полуг'!D31+'3 кв'!D31</f>
        <v>50.504</v>
      </c>
      <c r="E31" s="25">
        <f>'1 полуг'!E31+'3 кв'!E31</f>
        <v>227.904</v>
      </c>
      <c r="F31" s="25">
        <f t="shared" si="0"/>
        <v>278.408</v>
      </c>
      <c r="G31" s="54">
        <f>'1 полуг'!G31+'3 кв'!G31</f>
        <v>50.125</v>
      </c>
      <c r="H31" s="54">
        <f>'1 полуг'!H31+'3 кв'!H31</f>
        <v>203.98</v>
      </c>
      <c r="I31" s="26">
        <f t="shared" si="1"/>
        <v>254.105</v>
      </c>
      <c r="J31" s="27">
        <f t="shared" si="2"/>
        <v>0.9924956439093934</v>
      </c>
      <c r="K31" s="27">
        <f t="shared" si="2"/>
        <v>0.8950259758494804</v>
      </c>
      <c r="L31" s="28">
        <f t="shared" si="2"/>
        <v>0.9127072497916726</v>
      </c>
      <c r="M31" s="55">
        <f>'1 полуг'!M31+'3 кв'!M31</f>
        <v>101163.43000000001</v>
      </c>
      <c r="N31" s="29">
        <f t="shared" si="3"/>
        <v>398.11664469412256</v>
      </c>
    </row>
    <row r="32" spans="1:14" ht="12.75">
      <c r="A32" s="31" t="s">
        <v>13</v>
      </c>
      <c r="B32" s="30"/>
      <c r="C32" s="30"/>
      <c r="D32" s="25">
        <f>'1 полуг'!D32+'3 кв'!D32</f>
        <v>12626</v>
      </c>
      <c r="E32" s="25">
        <f>'1 полуг'!E32+'3 кв'!E32</f>
        <v>37984</v>
      </c>
      <c r="F32" s="25">
        <f t="shared" si="0"/>
        <v>50610</v>
      </c>
      <c r="G32" s="54">
        <f>'1 полуг'!G32+'3 кв'!G32</f>
        <v>11515.2</v>
      </c>
      <c r="H32" s="54">
        <f>'1 полуг'!H32+'3 кв'!H32</f>
        <v>35522.600000000006</v>
      </c>
      <c r="I32" s="26">
        <f t="shared" si="1"/>
        <v>47037.8</v>
      </c>
      <c r="J32" s="27">
        <f t="shared" si="2"/>
        <v>0.9120228100744496</v>
      </c>
      <c r="K32" s="27">
        <f t="shared" si="2"/>
        <v>0.9351990311710195</v>
      </c>
      <c r="L32" s="28">
        <f t="shared" si="2"/>
        <v>0.9294171112428374</v>
      </c>
      <c r="M32" s="55">
        <f>'1 полуг'!M32+'3 кв'!M32</f>
        <v>306826.88</v>
      </c>
      <c r="N32" s="29">
        <f t="shared" si="3"/>
        <v>6.522985343702299</v>
      </c>
    </row>
    <row r="33" spans="1:14" ht="12.75">
      <c r="A33" s="31" t="s">
        <v>14</v>
      </c>
      <c r="B33" s="30"/>
      <c r="C33" s="30"/>
      <c r="D33" s="25">
        <f>'1 полуг'!D33+'3 кв'!D33</f>
        <v>315.65</v>
      </c>
      <c r="E33" s="25">
        <f>'1 полуг'!E33+'3 кв'!E33</f>
        <v>1101.536</v>
      </c>
      <c r="F33" s="25">
        <f t="shared" si="0"/>
        <v>1417.1860000000001</v>
      </c>
      <c r="G33" s="54">
        <f>'1 полуг'!G33+'3 кв'!G33</f>
        <v>281.692</v>
      </c>
      <c r="H33" s="54">
        <f>'1 полуг'!H33+'3 кв'!H33</f>
        <v>1033.5900000000001</v>
      </c>
      <c r="I33" s="26">
        <f t="shared" si="1"/>
        <v>1315.2820000000002</v>
      </c>
      <c r="J33" s="27">
        <f t="shared" si="2"/>
        <v>0.892418818311421</v>
      </c>
      <c r="K33" s="27">
        <f t="shared" si="2"/>
        <v>0.9383170409319351</v>
      </c>
      <c r="L33" s="28">
        <f t="shared" si="2"/>
        <v>0.9280941245538694</v>
      </c>
      <c r="M33" s="55">
        <f>'1 полуг'!M33+'3 кв'!M33</f>
        <v>34938.78</v>
      </c>
      <c r="N33" s="29">
        <f t="shared" si="3"/>
        <v>26.56371789471763</v>
      </c>
    </row>
    <row r="34" spans="1:14" ht="12.75">
      <c r="A34" s="31" t="s">
        <v>15</v>
      </c>
      <c r="B34" s="30"/>
      <c r="C34" s="30"/>
      <c r="D34" s="25">
        <f>'1 полуг'!D34+'3 кв'!D34</f>
        <v>378.78000000000003</v>
      </c>
      <c r="E34" s="25">
        <f>'1 полуг'!E34+'3 кв'!E34</f>
        <v>1633.312</v>
      </c>
      <c r="F34" s="25">
        <f t="shared" si="0"/>
        <v>2012.0919999999999</v>
      </c>
      <c r="G34" s="54">
        <f>'1 полуг'!G34+'3 кв'!G34</f>
        <v>423.703</v>
      </c>
      <c r="H34" s="54">
        <f>'1 полуг'!H34+'3 кв'!H34</f>
        <v>1576.009</v>
      </c>
      <c r="I34" s="26">
        <f t="shared" si="1"/>
        <v>1999.712</v>
      </c>
      <c r="J34" s="27">
        <f t="shared" si="2"/>
        <v>1.1185991868630867</v>
      </c>
      <c r="K34" s="27">
        <f t="shared" si="2"/>
        <v>0.9649160723731902</v>
      </c>
      <c r="L34" s="28">
        <f t="shared" si="2"/>
        <v>0.9938471998298289</v>
      </c>
      <c r="M34" s="55">
        <f>'1 полуг'!M34+'3 кв'!M34</f>
        <v>100935.51</v>
      </c>
      <c r="N34" s="29">
        <f t="shared" si="3"/>
        <v>50.47502340337008</v>
      </c>
    </row>
    <row r="35" spans="1:14" ht="12.75">
      <c r="A35" s="31" t="s">
        <v>16</v>
      </c>
      <c r="B35" s="30"/>
      <c r="C35" s="30"/>
      <c r="D35" s="25">
        <f>'1 полуг'!D35+'3 кв'!D35</f>
        <v>101.008</v>
      </c>
      <c r="E35" s="25">
        <f>'1 полуг'!E35+'3 кв'!E35</f>
        <v>455.808</v>
      </c>
      <c r="F35" s="25">
        <f t="shared" si="0"/>
        <v>556.816</v>
      </c>
      <c r="G35" s="54">
        <f>'1 полуг'!G35+'3 кв'!G35</f>
        <v>116.40100000000001</v>
      </c>
      <c r="H35" s="54">
        <f>'1 полуг'!H35+'3 кв'!H35</f>
        <v>416.505</v>
      </c>
      <c r="I35" s="26">
        <f t="shared" si="1"/>
        <v>532.906</v>
      </c>
      <c r="J35" s="27">
        <f t="shared" si="2"/>
        <v>1.1523938697924918</v>
      </c>
      <c r="K35" s="27">
        <f t="shared" si="2"/>
        <v>0.913772904380792</v>
      </c>
      <c r="L35" s="28">
        <f t="shared" si="2"/>
        <v>0.957059423579782</v>
      </c>
      <c r="M35" s="55">
        <f>'1 полуг'!M35+'3 кв'!M35</f>
        <v>22561.97</v>
      </c>
      <c r="N35" s="29">
        <f t="shared" si="3"/>
        <v>42.33761676543331</v>
      </c>
    </row>
    <row r="36" spans="1:14" ht="12.75">
      <c r="A36" s="31" t="s">
        <v>17</v>
      </c>
      <c r="B36" s="30"/>
      <c r="C36" s="30"/>
      <c r="D36" s="25">
        <f>'1 полуг'!D36+'3 кв'!D36</f>
        <v>315.65</v>
      </c>
      <c r="E36" s="25">
        <f>'1 полуг'!E36+'3 кв'!E36</f>
        <v>1139.52</v>
      </c>
      <c r="F36" s="25">
        <f t="shared" si="0"/>
        <v>1455.17</v>
      </c>
      <c r="G36" s="54">
        <f>'1 полуг'!G36+'3 кв'!G36</f>
        <v>270.23499999999996</v>
      </c>
      <c r="H36" s="54">
        <f>'1 полуг'!H36+'3 кв'!H36</f>
        <v>1039.597</v>
      </c>
      <c r="I36" s="26">
        <f t="shared" si="1"/>
        <v>1309.8319999999999</v>
      </c>
      <c r="J36" s="27">
        <f t="shared" si="2"/>
        <v>0.8561222873435766</v>
      </c>
      <c r="K36" s="27">
        <f t="shared" si="2"/>
        <v>0.9123113240662735</v>
      </c>
      <c r="L36" s="28">
        <f t="shared" si="2"/>
        <v>0.9001230096827173</v>
      </c>
      <c r="M36" s="55">
        <f>'1 полуг'!M36+'3 кв'!M36</f>
        <v>87445.06</v>
      </c>
      <c r="N36" s="29">
        <f t="shared" si="3"/>
        <v>66.76051585241467</v>
      </c>
    </row>
    <row r="37" spans="1:14" ht="12.75">
      <c r="A37" s="31" t="s">
        <v>18</v>
      </c>
      <c r="B37" s="30"/>
      <c r="C37" s="30"/>
      <c r="D37" s="25">
        <f>'1 полуг'!D37+'3 кв'!D37</f>
        <v>151.512</v>
      </c>
      <c r="E37" s="25">
        <f>'1 полуг'!E37+'3 кв'!E37</f>
        <v>759.6800000000001</v>
      </c>
      <c r="F37" s="25">
        <f t="shared" si="0"/>
        <v>911.192</v>
      </c>
      <c r="G37" s="54">
        <f>'1 полуг'!G37+'3 кв'!G37</f>
        <v>110.502</v>
      </c>
      <c r="H37" s="54">
        <f>'1 полуг'!H37+'3 кв'!H37</f>
        <v>397.903</v>
      </c>
      <c r="I37" s="26">
        <f t="shared" si="1"/>
        <v>508.40500000000003</v>
      </c>
      <c r="J37" s="27">
        <f t="shared" si="2"/>
        <v>0.7293283700300965</v>
      </c>
      <c r="K37" s="27">
        <f t="shared" si="2"/>
        <v>0.5237771166807077</v>
      </c>
      <c r="L37" s="28">
        <f t="shared" si="2"/>
        <v>0.5579559522032679</v>
      </c>
      <c r="M37" s="55">
        <f>'1 полуг'!M37+'3 кв'!M37</f>
        <v>56783.40000000001</v>
      </c>
      <c r="N37" s="29">
        <f t="shared" si="3"/>
        <v>111.68930281960249</v>
      </c>
    </row>
    <row r="38" spans="1:14" ht="12.75">
      <c r="A38" s="31" t="s">
        <v>19</v>
      </c>
      <c r="B38" s="30"/>
      <c r="C38" s="30"/>
      <c r="D38" s="25">
        <f>'1 полуг'!D38+'3 кв'!D38</f>
        <v>113.634</v>
      </c>
      <c r="E38" s="25">
        <f>'1 полуг'!E38+'3 кв'!E38</f>
        <v>417.82399999999996</v>
      </c>
      <c r="F38" s="25">
        <f t="shared" si="0"/>
        <v>531.458</v>
      </c>
      <c r="G38" s="54">
        <f>'1 полуг'!G38+'3 кв'!G38</f>
        <v>102.695</v>
      </c>
      <c r="H38" s="54">
        <f>'1 полуг'!H38+'3 кв'!H38</f>
        <v>388.615</v>
      </c>
      <c r="I38" s="26">
        <f t="shared" si="1"/>
        <v>491.31</v>
      </c>
      <c r="J38" s="27">
        <f t="shared" si="2"/>
        <v>0.9037347976837917</v>
      </c>
      <c r="K38" s="27">
        <f t="shared" si="2"/>
        <v>0.9300925748640577</v>
      </c>
      <c r="L38" s="28">
        <f t="shared" si="2"/>
        <v>0.9244568714743217</v>
      </c>
      <c r="M38" s="55">
        <f>'1 полуг'!M38+'3 кв'!M38</f>
        <v>60993.08</v>
      </c>
      <c r="N38" s="29">
        <f t="shared" si="3"/>
        <v>124.14377887688018</v>
      </c>
    </row>
    <row r="39" spans="1:14" ht="12.75">
      <c r="A39" s="31" t="s">
        <v>20</v>
      </c>
      <c r="B39" s="30"/>
      <c r="C39" s="30"/>
      <c r="D39" s="25">
        <f>'1 полуг'!D39+'3 кв'!D39</f>
        <v>1199.4699999999998</v>
      </c>
      <c r="E39" s="25">
        <f>'1 полуг'!E39+'3 кв'!E39</f>
        <v>3798.4000000000005</v>
      </c>
      <c r="F39" s="25">
        <f t="shared" si="0"/>
        <v>4997.870000000001</v>
      </c>
      <c r="G39" s="54">
        <f>'1 полуг'!G39+'3 кв'!G39</f>
        <v>1214.2949999999998</v>
      </c>
      <c r="H39" s="54">
        <f>'1 полуг'!H39+'3 кв'!H39</f>
        <v>3830.852</v>
      </c>
      <c r="I39" s="26">
        <f t="shared" si="1"/>
        <v>5045.147</v>
      </c>
      <c r="J39" s="27">
        <f t="shared" si="2"/>
        <v>1.012359625501263</v>
      </c>
      <c r="K39" s="27">
        <f t="shared" si="2"/>
        <v>1.008543597304128</v>
      </c>
      <c r="L39" s="28">
        <f t="shared" si="2"/>
        <v>1.0094594297170594</v>
      </c>
      <c r="M39" s="55">
        <f>'1 полуг'!M39+'3 кв'!M39</f>
        <v>516251.57999999996</v>
      </c>
      <c r="N39" s="29">
        <f t="shared" si="3"/>
        <v>102.32637027226362</v>
      </c>
    </row>
    <row r="40" spans="1:14" ht="12.75">
      <c r="A40" s="31" t="s">
        <v>21</v>
      </c>
      <c r="B40" s="30"/>
      <c r="C40" s="30"/>
      <c r="D40" s="25">
        <f>'1 полуг'!D40+'3 кв'!D40</f>
        <v>1262.6</v>
      </c>
      <c r="E40" s="25">
        <f>'1 полуг'!E40+'3 кв'!E40</f>
        <v>3798.4000000000005</v>
      </c>
      <c r="F40" s="25">
        <f t="shared" si="0"/>
        <v>5061</v>
      </c>
      <c r="G40" s="54">
        <f>'1 полуг'!G40+'3 кв'!G40</f>
        <v>1065.2</v>
      </c>
      <c r="H40" s="54">
        <f>'1 полуг'!H40+'3 кв'!H40</f>
        <v>3647.9999999999995</v>
      </c>
      <c r="I40" s="26">
        <f t="shared" si="1"/>
        <v>4713.2</v>
      </c>
      <c r="J40" s="27">
        <f t="shared" si="2"/>
        <v>0.8436559480437195</v>
      </c>
      <c r="K40" s="27">
        <f t="shared" si="2"/>
        <v>0.9604043807919121</v>
      </c>
      <c r="L40" s="28">
        <f t="shared" si="2"/>
        <v>0.9312784034775735</v>
      </c>
      <c r="M40" s="55">
        <f>'1 полуг'!M40+'3 кв'!M40</f>
        <v>246217.85</v>
      </c>
      <c r="N40" s="29">
        <f t="shared" si="3"/>
        <v>52.240059831961304</v>
      </c>
    </row>
    <row r="41" spans="1:14" ht="12.75">
      <c r="A41" s="31" t="s">
        <v>22</v>
      </c>
      <c r="B41" s="30"/>
      <c r="C41" s="30"/>
      <c r="D41" s="25">
        <f>'1 полуг'!D41+'3 кв'!D41</f>
        <v>1515.1200000000001</v>
      </c>
      <c r="E41" s="25">
        <f>'1 полуг'!E41+'3 кв'!E41</f>
        <v>5317.76</v>
      </c>
      <c r="F41" s="25">
        <f t="shared" si="0"/>
        <v>6832.88</v>
      </c>
      <c r="G41" s="54">
        <f>'1 полуг'!G41+'3 кв'!G41</f>
        <v>1358.6999999999998</v>
      </c>
      <c r="H41" s="54">
        <f>'1 полуг'!H41+'3 кв'!H41</f>
        <v>5100.6140000000005</v>
      </c>
      <c r="I41" s="26">
        <f t="shared" si="1"/>
        <v>6459.314</v>
      </c>
      <c r="J41" s="27">
        <f t="shared" si="2"/>
        <v>0.8967606526215743</v>
      </c>
      <c r="K41" s="27">
        <f t="shared" si="2"/>
        <v>0.9591658893970394</v>
      </c>
      <c r="L41" s="28">
        <f t="shared" si="2"/>
        <v>0.9453281778693611</v>
      </c>
      <c r="M41" s="55">
        <f>'1 полуг'!M41+'3 кв'!M41</f>
        <v>225342.45</v>
      </c>
      <c r="N41" s="29">
        <f t="shared" si="3"/>
        <v>34.886436856917</v>
      </c>
    </row>
    <row r="42" spans="1:14" ht="12.75">
      <c r="A42" s="31" t="s">
        <v>23</v>
      </c>
      <c r="B42" s="30"/>
      <c r="C42" s="30"/>
      <c r="D42" s="25">
        <f>'1 полуг'!D42+'3 кв'!D42</f>
        <v>2272.68</v>
      </c>
      <c r="E42" s="25">
        <f>'1 полуг'!E42+'3 кв'!E42</f>
        <v>8356.48</v>
      </c>
      <c r="F42" s="25">
        <f t="shared" si="0"/>
        <v>10629.16</v>
      </c>
      <c r="G42" s="54">
        <f>'1 полуг'!G42+'3 кв'!G42</f>
        <v>1993.6349999999998</v>
      </c>
      <c r="H42" s="54">
        <f>'1 полуг'!H42+'3 кв'!H42</f>
        <v>7681.658000000001</v>
      </c>
      <c r="I42" s="26">
        <f t="shared" si="1"/>
        <v>9675.293000000001</v>
      </c>
      <c r="J42" s="27">
        <f t="shared" si="2"/>
        <v>0.8772176461270395</v>
      </c>
      <c r="K42" s="27">
        <f t="shared" si="2"/>
        <v>0.9192456632457687</v>
      </c>
      <c r="L42" s="28">
        <f t="shared" si="2"/>
        <v>0.9102594184300549</v>
      </c>
      <c r="M42" s="55">
        <f>'1 полуг'!M42+'3 кв'!M42</f>
        <v>475872.25</v>
      </c>
      <c r="N42" s="29">
        <f t="shared" si="3"/>
        <v>49.18427276569298</v>
      </c>
    </row>
    <row r="43" spans="1:14" ht="12.75">
      <c r="A43" s="31" t="s">
        <v>24</v>
      </c>
      <c r="B43" s="30"/>
      <c r="C43" s="30"/>
      <c r="D43" s="25">
        <f>'1 полуг'!D43+'3 кв'!D43</f>
        <v>505.04</v>
      </c>
      <c r="E43" s="25">
        <f>'1 полуг'!E43+'3 кв'!E43</f>
        <v>1899.2000000000003</v>
      </c>
      <c r="F43" s="25">
        <f t="shared" si="0"/>
        <v>2404.2400000000002</v>
      </c>
      <c r="G43" s="54">
        <f>'1 полуг'!G43+'3 кв'!G43</f>
        <v>503.81</v>
      </c>
      <c r="H43" s="54">
        <f>'1 полуг'!H43+'3 кв'!H43</f>
        <v>1715.2870000000003</v>
      </c>
      <c r="I43" s="26">
        <f t="shared" si="1"/>
        <v>2219.097</v>
      </c>
      <c r="J43" s="27">
        <f t="shared" si="2"/>
        <v>0.9975645493426263</v>
      </c>
      <c r="K43" s="27">
        <f t="shared" si="2"/>
        <v>0.9031629106992418</v>
      </c>
      <c r="L43" s="28">
        <f t="shared" si="2"/>
        <v>0.9229931288057764</v>
      </c>
      <c r="M43" s="55">
        <f>'1 полуг'!M43+'3 кв'!M43</f>
        <v>117494.93000000001</v>
      </c>
      <c r="N43" s="29">
        <f t="shared" si="3"/>
        <v>52.94718076767261</v>
      </c>
    </row>
    <row r="44" spans="1:14" ht="12.75">
      <c r="A44" s="32" t="s">
        <v>25</v>
      </c>
      <c r="B44" s="30"/>
      <c r="C44" s="30"/>
      <c r="D44" s="25">
        <f>'1 полуг'!D44+'3 кв'!D44</f>
        <v>757.5600000000001</v>
      </c>
      <c r="E44" s="25">
        <f>'1 полуг'!E44+'3 кв'!E44</f>
        <v>3038.7200000000003</v>
      </c>
      <c r="F44" s="25">
        <f>D44+E44</f>
        <v>3796.28</v>
      </c>
      <c r="G44" s="54">
        <f>'1 полуг'!G44+'3 кв'!G44</f>
        <v>706.34</v>
      </c>
      <c r="H44" s="54">
        <f>'1 полуг'!H44+'3 кв'!H44</f>
        <v>2569.938</v>
      </c>
      <c r="I44" s="26">
        <f>G44+H44</f>
        <v>3276.2780000000002</v>
      </c>
      <c r="J44" s="27">
        <f t="shared" si="2"/>
        <v>0.9323881936744284</v>
      </c>
      <c r="K44" s="27">
        <f t="shared" si="2"/>
        <v>0.8457304391322662</v>
      </c>
      <c r="L44" s="28">
        <f t="shared" si="2"/>
        <v>0.8630232754169872</v>
      </c>
      <c r="M44" s="55">
        <f>'1 полуг'!M44+'3 кв'!M44</f>
        <v>223390.45</v>
      </c>
      <c r="N44" s="29">
        <f>IF(I44&gt;0,M44/I44,0)</f>
        <v>68.18421696815716</v>
      </c>
    </row>
    <row r="45" spans="1:14" s="20" customFormat="1" ht="12.75">
      <c r="A45" s="44" t="s">
        <v>54</v>
      </c>
      <c r="B45" s="45"/>
      <c r="C45" s="45"/>
      <c r="D45" s="46">
        <f>SUM(D22:D44)</f>
        <v>28863.036000000004</v>
      </c>
      <c r="E45" s="46">
        <f>SUM(E22:E44)</f>
        <v>95529.75999999997</v>
      </c>
      <c r="F45" s="46">
        <f>D45+E45</f>
        <v>124392.79599999997</v>
      </c>
      <c r="G45" s="56">
        <f>'1 полуг'!G45+'3 кв'!G45</f>
        <v>26379.946999999996</v>
      </c>
      <c r="H45" s="56">
        <f>'1 полуг'!H45+'3 кв'!H45</f>
        <v>88465.324</v>
      </c>
      <c r="I45" s="47">
        <f>G45+H45</f>
        <v>114845.271</v>
      </c>
      <c r="J45" s="59">
        <f>IF(G45&gt;0,G45/D45,0)</f>
        <v>0.9139699302595885</v>
      </c>
      <c r="K45" s="59">
        <f>IF(E45&gt;0,H45/E45,0)</f>
        <v>0.9260498927245292</v>
      </c>
      <c r="L45" s="59">
        <f>IF(F45&gt;0,I45/F45,0)</f>
        <v>0.9232469619864483</v>
      </c>
      <c r="M45" s="57">
        <f>'1 полуг'!M45+'3 кв'!M45</f>
        <v>6962014.39</v>
      </c>
      <c r="N45" s="60"/>
    </row>
    <row r="46" ht="13.5" thickBot="1"/>
    <row r="47" spans="1:14" s="37" customFormat="1" ht="21" customHeight="1" thickBot="1">
      <c r="A47" s="33" t="s">
        <v>48</v>
      </c>
      <c r="B47" s="34">
        <f>SUM(B22:B24)</f>
        <v>0</v>
      </c>
      <c r="C47" s="34">
        <f>SUM(C22:C24)</f>
        <v>0</v>
      </c>
      <c r="D47" s="35">
        <f aca="true" t="shared" si="4" ref="D47:I47">SUM(D22:D24)</f>
        <v>1136.34</v>
      </c>
      <c r="E47" s="35">
        <f t="shared" si="4"/>
        <v>3950.3360000000002</v>
      </c>
      <c r="F47" s="35">
        <f t="shared" si="4"/>
        <v>5086.676</v>
      </c>
      <c r="G47" s="35">
        <f t="shared" si="4"/>
        <v>1027.629</v>
      </c>
      <c r="H47" s="35">
        <f t="shared" si="4"/>
        <v>3771.6319999999996</v>
      </c>
      <c r="I47" s="35">
        <f t="shared" si="4"/>
        <v>4799.2609999999995</v>
      </c>
      <c r="J47" s="61">
        <f>IF(G47=0,0,G47/D47)</f>
        <v>0.9043323301124663</v>
      </c>
      <c r="K47" s="61">
        <f>IF(H47=0,0,H47/E47)</f>
        <v>0.9547623290778302</v>
      </c>
      <c r="L47" s="61">
        <f>IF(I47&gt;0,I47/F47,0)</f>
        <v>0.9434964994821764</v>
      </c>
      <c r="M47" s="58">
        <f>SUM(M22:M24)</f>
        <v>1391583.9100000001</v>
      </c>
      <c r="N47" s="36">
        <f>IF(M47=0,0,M47/I47)</f>
        <v>289.95795602698007</v>
      </c>
    </row>
  </sheetData>
  <sheetProtection password="CC53" sheet="1" formatCells="0" formatColumns="0" formatRows="0" insertColumns="0" insertRows="0" insertHyperlinks="0" deleteColumns="0" deleteRows="0" sort="0" autoFilter="0" pivotTables="0"/>
  <mergeCells count="19">
    <mergeCell ref="L16:M16"/>
    <mergeCell ref="L17:M17"/>
    <mergeCell ref="A15:B15"/>
    <mergeCell ref="L15:M15"/>
    <mergeCell ref="C8:C10"/>
    <mergeCell ref="D8:F10"/>
    <mergeCell ref="A11:B11"/>
    <mergeCell ref="L13:N13"/>
    <mergeCell ref="L14:M14"/>
    <mergeCell ref="E2:G2"/>
    <mergeCell ref="A1:G1"/>
    <mergeCell ref="A19:N19"/>
    <mergeCell ref="A20:A21"/>
    <mergeCell ref="B20:C20"/>
    <mergeCell ref="D20:F20"/>
    <mergeCell ref="G20:I20"/>
    <mergeCell ref="J20:L20"/>
    <mergeCell ref="M20:M21"/>
    <mergeCell ref="N20:N21"/>
  </mergeCells>
  <printOptions horizontalCentered="1"/>
  <pageMargins left="0.31496062992125984" right="0.31496062992125984" top="0.7480314960629921" bottom="0.15748031496062992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H25" sqref="H25"/>
    </sheetView>
  </sheetViews>
  <sheetFormatPr defaultColWidth="9.00390625" defaultRowHeight="18" customHeight="1"/>
  <cols>
    <col min="1" max="1" width="13.625" style="0" customWidth="1"/>
    <col min="2" max="2" width="14.375" style="0" customWidth="1"/>
  </cols>
  <sheetData>
    <row r="1" spans="1:3" ht="18" customHeight="1">
      <c r="A1" s="123" t="s">
        <v>56</v>
      </c>
      <c r="B1" s="124">
        <f>+янв!B8</f>
        <v>628924.8</v>
      </c>
      <c r="C1" s="124">
        <f>+янв!B5</f>
        <v>4918</v>
      </c>
    </row>
    <row r="2" spans="1:3" ht="18" customHeight="1">
      <c r="A2" s="123" t="s">
        <v>57</v>
      </c>
      <c r="B2" s="124">
        <f>+фев!B8</f>
        <v>637044.6599999999</v>
      </c>
      <c r="C2" s="124">
        <f>+фев!B5</f>
        <v>4915</v>
      </c>
    </row>
    <row r="3" spans="1:3" ht="18" customHeight="1">
      <c r="A3" s="123" t="s">
        <v>58</v>
      </c>
      <c r="B3" s="124">
        <f>+март!B8</f>
        <v>878055.93</v>
      </c>
      <c r="C3" s="124">
        <f>+март!B5</f>
        <v>6569</v>
      </c>
    </row>
    <row r="4" spans="1:3" ht="18" customHeight="1">
      <c r="A4" s="123" t="s">
        <v>59</v>
      </c>
      <c r="B4" s="124">
        <f>+апр!B8</f>
        <v>860165.83</v>
      </c>
      <c r="C4" s="124">
        <f>+апр!B5</f>
        <v>5941</v>
      </c>
    </row>
    <row r="5" spans="1:3" ht="18" customHeight="1">
      <c r="A5" s="123" t="s">
        <v>60</v>
      </c>
      <c r="B5" s="124">
        <f>+май!B8</f>
        <v>887925.37</v>
      </c>
      <c r="C5" s="124">
        <f>+май!B5</f>
        <v>6336</v>
      </c>
    </row>
    <row r="6" spans="1:3" ht="18" customHeight="1">
      <c r="A6" s="123" t="s">
        <v>61</v>
      </c>
      <c r="B6" s="124">
        <f>+июнь!B8</f>
        <v>796232.68</v>
      </c>
      <c r="C6" s="124">
        <f>+июнь!B5</f>
        <v>5695</v>
      </c>
    </row>
    <row r="7" spans="1:3" ht="18" customHeight="1">
      <c r="A7" s="123" t="s">
        <v>62</v>
      </c>
      <c r="B7" s="124">
        <f>+июль!B8</f>
        <v>677393.81</v>
      </c>
      <c r="C7" s="124">
        <f>+июль!B5</f>
        <v>4864</v>
      </c>
    </row>
    <row r="8" spans="1:3" ht="18" customHeight="1">
      <c r="A8" s="123" t="s">
        <v>63</v>
      </c>
      <c r="B8" s="124">
        <f>+авг!B8</f>
        <v>804068.49</v>
      </c>
      <c r="C8" s="124">
        <f>+авг!B5</f>
        <v>5678</v>
      </c>
    </row>
    <row r="9" spans="1:3" ht="18" customHeight="1">
      <c r="A9" s="123" t="s">
        <v>64</v>
      </c>
      <c r="B9" s="124">
        <f>+сент!B8</f>
        <v>836648.61</v>
      </c>
      <c r="C9" s="124">
        <f>+сент!B5</f>
        <v>5694</v>
      </c>
    </row>
    <row r="10" spans="1:3" ht="18" customHeight="1">
      <c r="A10" s="123" t="s">
        <v>65</v>
      </c>
      <c r="B10" s="124">
        <f>+окт!B8</f>
        <v>980077.52</v>
      </c>
      <c r="C10" s="124">
        <f>+окт!B5</f>
        <v>6352</v>
      </c>
    </row>
    <row r="11" spans="1:3" ht="18" customHeight="1">
      <c r="A11" s="123" t="s">
        <v>66</v>
      </c>
      <c r="B11" s="124">
        <f>+нояб!B8</f>
        <v>978322.66</v>
      </c>
      <c r="C11" s="124">
        <f>+нояб!B5</f>
        <v>6368</v>
      </c>
    </row>
    <row r="12" spans="1:3" ht="18" customHeight="1">
      <c r="A12" s="123" t="s">
        <v>67</v>
      </c>
      <c r="B12" s="124">
        <f>+дек!B8</f>
        <v>892433.15</v>
      </c>
      <c r="C12" s="124">
        <f>+дек!B5</f>
        <v>5888</v>
      </c>
    </row>
    <row r="13" spans="1:3" ht="18" customHeight="1">
      <c r="A13" s="125" t="s">
        <v>68</v>
      </c>
      <c r="B13" s="124">
        <f>+'1 кв'!B8</f>
        <v>2144025.39</v>
      </c>
      <c r="C13" s="124">
        <f>+'1 кв'!B5</f>
        <v>16402</v>
      </c>
    </row>
    <row r="14" spans="1:3" ht="18" customHeight="1">
      <c r="A14" s="125" t="s">
        <v>69</v>
      </c>
      <c r="B14" s="124">
        <f>+'2 кв'!B8</f>
        <v>2544323.88</v>
      </c>
      <c r="C14" s="124">
        <f>+'2 кв'!B5</f>
        <v>17972</v>
      </c>
    </row>
    <row r="15" spans="1:3" ht="18" customHeight="1">
      <c r="A15" s="125" t="s">
        <v>70</v>
      </c>
      <c r="B15" s="124">
        <f>+'1 полуг'!B8</f>
        <v>4688349.2700000005</v>
      </c>
      <c r="C15" s="124">
        <f>+'1 полуг'!B5</f>
        <v>34374</v>
      </c>
    </row>
    <row r="16" spans="1:3" ht="18" customHeight="1">
      <c r="A16" s="126" t="s">
        <v>71</v>
      </c>
      <c r="B16" s="127">
        <f>+'3 кв'!B8</f>
        <v>2318110.91</v>
      </c>
      <c r="C16" s="127">
        <f>+'3 кв'!B5</f>
        <v>16236</v>
      </c>
    </row>
    <row r="17" spans="1:3" ht="18" customHeight="1">
      <c r="A17" s="126" t="s">
        <v>72</v>
      </c>
      <c r="B17" s="127">
        <f>+'9 мес'!B8</f>
        <v>7006460.180000001</v>
      </c>
      <c r="C17" s="127">
        <f>+'9 мес'!B5</f>
        <v>50610</v>
      </c>
    </row>
    <row r="18" spans="1:3" ht="18" customHeight="1">
      <c r="A18" s="126" t="s">
        <v>73</v>
      </c>
      <c r="B18" s="127">
        <f>+'4 кв'!B8</f>
        <v>2850833.33</v>
      </c>
      <c r="C18" s="127">
        <f>+'4 кв'!B5</f>
        <v>18608</v>
      </c>
    </row>
    <row r="19" spans="1:3" ht="18" customHeight="1">
      <c r="A19" s="126" t="s">
        <v>74</v>
      </c>
      <c r="B19" s="127">
        <f>+год!B8</f>
        <v>9857293.510000002</v>
      </c>
      <c r="C19" s="127">
        <f>+год!B5</f>
        <v>69218</v>
      </c>
    </row>
    <row r="20" spans="2:3" ht="18" customHeight="1">
      <c r="B20" t="s">
        <v>95</v>
      </c>
      <c r="C20" t="s">
        <v>96</v>
      </c>
    </row>
  </sheetData>
  <sheetProtection password="CC53" sheet="1"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B12" sqref="B12"/>
    </sheetView>
  </sheetViews>
  <sheetFormatPr defaultColWidth="9.125" defaultRowHeight="12.75"/>
  <cols>
    <col min="1" max="1" width="32.625" style="2" customWidth="1"/>
    <col min="2" max="2" width="13.50390625" style="2" customWidth="1"/>
    <col min="3" max="3" width="12.125" style="2" customWidth="1"/>
    <col min="4" max="12" width="11.375" style="2" customWidth="1"/>
    <col min="13" max="13" width="12.50390625" style="2" customWidth="1"/>
    <col min="14" max="14" width="11.375" style="2" customWidth="1"/>
    <col min="15" max="15" width="10.50390625" style="2" customWidth="1"/>
    <col min="16" max="16384" width="9.125" style="2" customWidth="1"/>
  </cols>
  <sheetData>
    <row r="1" spans="1:14" ht="24" customHeight="1">
      <c r="A1" s="171" t="s">
        <v>90</v>
      </c>
      <c r="B1" s="171"/>
      <c r="C1" s="171"/>
      <c r="D1" s="171"/>
      <c r="E1" s="171"/>
      <c r="F1" s="171"/>
      <c r="G1" s="171"/>
      <c r="H1" s="119">
        <f>янв!H1</f>
        <v>2023</v>
      </c>
      <c r="I1" s="1" t="s">
        <v>75</v>
      </c>
      <c r="J1" s="1"/>
      <c r="K1" s="1"/>
      <c r="L1" s="1"/>
      <c r="M1" s="1"/>
      <c r="N1" s="1"/>
    </row>
    <row r="2" spans="1:7" ht="12.75">
      <c r="A2" s="3" t="s">
        <v>26</v>
      </c>
      <c r="B2" s="52"/>
      <c r="E2" s="183" t="s">
        <v>55</v>
      </c>
      <c r="F2" s="183"/>
      <c r="G2" s="183"/>
    </row>
    <row r="3" spans="1:2" ht="12.75">
      <c r="A3" s="3" t="s">
        <v>0</v>
      </c>
      <c r="B3" s="52"/>
    </row>
    <row r="4" spans="1:2" ht="12.75">
      <c r="A4" s="4" t="s">
        <v>30</v>
      </c>
      <c r="B4" s="53">
        <f>янв!B4</f>
        <v>448</v>
      </c>
    </row>
    <row r="5" spans="1:2" ht="12.75">
      <c r="A5" s="5" t="s">
        <v>28</v>
      </c>
      <c r="B5" s="140">
        <f>B6+B7</f>
        <v>18608</v>
      </c>
    </row>
    <row r="6" spans="1:2" ht="12.75">
      <c r="A6" s="6" t="s">
        <v>27</v>
      </c>
      <c r="B6" s="141">
        <f>SUM(окт:дек!B6)</f>
        <v>2816</v>
      </c>
    </row>
    <row r="7" spans="1:2" ht="13.5" thickBot="1">
      <c r="A7" s="7" t="s">
        <v>29</v>
      </c>
      <c r="B7" s="141">
        <f>SUM(окт:дек!B7)</f>
        <v>15792</v>
      </c>
    </row>
    <row r="8" spans="1:6" ht="12.75">
      <c r="A8" s="8" t="s">
        <v>31</v>
      </c>
      <c r="B8" s="144">
        <f>SUM(окт:дек!B8)</f>
        <v>2850833.33</v>
      </c>
      <c r="C8" s="184"/>
      <c r="D8" s="187"/>
      <c r="E8" s="183"/>
      <c r="F8" s="183"/>
    </row>
    <row r="9" spans="1:6" ht="12.75">
      <c r="A9" s="9" t="s">
        <v>32</v>
      </c>
      <c r="B9" s="144">
        <f>SUM(окт:дек!B9)</f>
        <v>2833797.8000000003</v>
      </c>
      <c r="C9" s="184"/>
      <c r="D9" s="187"/>
      <c r="E9" s="183"/>
      <c r="F9" s="183"/>
    </row>
    <row r="10" spans="1:6" ht="13.5" thickBot="1">
      <c r="A10" s="11" t="s">
        <v>33</v>
      </c>
      <c r="B10" s="145">
        <f>B8-B9</f>
        <v>17035.529999999795</v>
      </c>
      <c r="C10" s="184"/>
      <c r="D10" s="187"/>
      <c r="E10" s="183"/>
      <c r="F10" s="183"/>
    </row>
    <row r="11" spans="1:3" ht="12.75">
      <c r="A11" s="185" t="s">
        <v>40</v>
      </c>
      <c r="B11" s="185"/>
      <c r="C11" s="12"/>
    </row>
    <row r="12" spans="1:3" ht="12.75">
      <c r="A12" s="3" t="s">
        <v>34</v>
      </c>
      <c r="B12" s="13">
        <v>131</v>
      </c>
      <c r="C12" s="12"/>
    </row>
    <row r="13" spans="1:14" ht="12.75" customHeight="1">
      <c r="A13" s="3" t="s">
        <v>2</v>
      </c>
      <c r="B13" s="131">
        <f>IF(M45&gt;0,B8/B5,0)</f>
        <v>153.204714638865</v>
      </c>
      <c r="C13" s="12"/>
      <c r="L13" s="176" t="s">
        <v>49</v>
      </c>
      <c r="M13" s="176"/>
      <c r="N13" s="176"/>
    </row>
    <row r="14" spans="1:14" ht="12.75">
      <c r="A14" s="14" t="s">
        <v>3</v>
      </c>
      <c r="B14" s="15">
        <f>B13/B12</f>
        <v>1.1695016384646184</v>
      </c>
      <c r="E14" s="42"/>
      <c r="L14" s="177" t="s">
        <v>50</v>
      </c>
      <c r="M14" s="177"/>
      <c r="N14" s="41">
        <v>2</v>
      </c>
    </row>
    <row r="15" spans="1:14" ht="12.75">
      <c r="A15" s="182" t="s">
        <v>41</v>
      </c>
      <c r="B15" s="182"/>
      <c r="C15" s="12"/>
      <c r="E15" s="43"/>
      <c r="L15" s="177" t="s">
        <v>53</v>
      </c>
      <c r="M15" s="177"/>
      <c r="N15" s="41">
        <v>1.25</v>
      </c>
    </row>
    <row r="16" spans="1:14" ht="12.75">
      <c r="A16" s="3" t="s">
        <v>42</v>
      </c>
      <c r="B16" s="16">
        <f>J45</f>
        <v>0.913062403066094</v>
      </c>
      <c r="C16" s="12"/>
      <c r="L16" s="177" t="s">
        <v>52</v>
      </c>
      <c r="M16" s="177"/>
      <c r="N16" s="41">
        <v>2.63</v>
      </c>
    </row>
    <row r="17" spans="1:14" ht="13.5" thickBot="1">
      <c r="A17" s="3" t="s">
        <v>43</v>
      </c>
      <c r="B17" s="17">
        <f>K45</f>
        <v>0.9190193439162392</v>
      </c>
      <c r="C17" s="12"/>
      <c r="L17" s="177" t="s">
        <v>51</v>
      </c>
      <c r="M17" s="177"/>
      <c r="N17" s="41">
        <v>8.33</v>
      </c>
    </row>
    <row r="18" spans="1:3" ht="18" thickBot="1">
      <c r="A18" s="18" t="s">
        <v>44</v>
      </c>
      <c r="B18" s="19">
        <f>L45</f>
        <v>0.918188498152803</v>
      </c>
      <c r="C18" s="12"/>
    </row>
    <row r="19" spans="1:14" ht="18.75" customHeight="1">
      <c r="A19" s="174" t="s">
        <v>1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</row>
    <row r="20" spans="1:14" s="20" customFormat="1" ht="39" customHeight="1">
      <c r="A20" s="186"/>
      <c r="B20" s="179" t="s">
        <v>37</v>
      </c>
      <c r="C20" s="179"/>
      <c r="D20" s="178" t="s">
        <v>38</v>
      </c>
      <c r="E20" s="178"/>
      <c r="F20" s="179"/>
      <c r="G20" s="178" t="s">
        <v>39</v>
      </c>
      <c r="H20" s="179"/>
      <c r="I20" s="179"/>
      <c r="J20" s="180" t="s">
        <v>4</v>
      </c>
      <c r="K20" s="181"/>
      <c r="L20" s="181"/>
      <c r="M20" s="172" t="s">
        <v>46</v>
      </c>
      <c r="N20" s="172" t="s">
        <v>47</v>
      </c>
    </row>
    <row r="21" spans="1:14" s="20" customFormat="1" ht="12.75">
      <c r="A21" s="186"/>
      <c r="B21" s="48" t="s">
        <v>27</v>
      </c>
      <c r="C21" s="48" t="s">
        <v>29</v>
      </c>
      <c r="D21" s="21" t="s">
        <v>27</v>
      </c>
      <c r="E21" s="21" t="s">
        <v>29</v>
      </c>
      <c r="F21" s="21" t="s">
        <v>5</v>
      </c>
      <c r="G21" s="21" t="s">
        <v>27</v>
      </c>
      <c r="H21" s="21" t="s">
        <v>29</v>
      </c>
      <c r="I21" s="21" t="s">
        <v>5</v>
      </c>
      <c r="J21" s="21" t="s">
        <v>27</v>
      </c>
      <c r="K21" s="21" t="s">
        <v>29</v>
      </c>
      <c r="L21" s="22" t="s">
        <v>45</v>
      </c>
      <c r="M21" s="173"/>
      <c r="N21" s="173"/>
    </row>
    <row r="22" spans="1:14" ht="12.75">
      <c r="A22" s="23" t="s">
        <v>6</v>
      </c>
      <c r="B22" s="30"/>
      <c r="C22" s="30"/>
      <c r="D22" s="25">
        <f>SUM(окт:дек!D22)</f>
        <v>140.8</v>
      </c>
      <c r="E22" s="25">
        <f>SUM(окт:дек!E22)</f>
        <v>868.5600000000001</v>
      </c>
      <c r="F22" s="25">
        <f>D22+E22</f>
        <v>1009.3600000000001</v>
      </c>
      <c r="G22" s="54">
        <f>окт!G22+нояб!G22+дек!G22</f>
        <v>122.536</v>
      </c>
      <c r="H22" s="54">
        <f>окт!H22+нояб!H22+дек!H22</f>
        <v>881.253</v>
      </c>
      <c r="I22" s="26">
        <f>G22+H22</f>
        <v>1003.789</v>
      </c>
      <c r="J22" s="27">
        <f>IF(G22&gt;0,G22/D22,0)</f>
        <v>0.8702840909090909</v>
      </c>
      <c r="K22" s="27">
        <f>IF(H22&gt;0,H22/E22,0)</f>
        <v>1.0146138436032053</v>
      </c>
      <c r="L22" s="28">
        <f>IF(I22&gt;0,I22/F22,0)</f>
        <v>0.994480661012919</v>
      </c>
      <c r="M22" s="55">
        <f>окт!M22+нояб!M22+дек!M22</f>
        <v>450238.18999999994</v>
      </c>
      <c r="N22" s="29">
        <f>IF(I22&gt;0,M22/I22,0)</f>
        <v>448.53867695302495</v>
      </c>
    </row>
    <row r="23" spans="1:14" ht="12.75">
      <c r="A23" s="23" t="s">
        <v>7</v>
      </c>
      <c r="B23" s="30"/>
      <c r="C23" s="30"/>
      <c r="D23" s="25">
        <f>SUM(окт:дек!D23)</f>
        <v>56.32</v>
      </c>
      <c r="E23" s="25">
        <f>SUM(окт:дек!E23)</f>
        <v>379.008</v>
      </c>
      <c r="F23" s="25">
        <f aca="true" t="shared" si="0" ref="F23:F43">D23+E23</f>
        <v>435.328</v>
      </c>
      <c r="G23" s="54">
        <f>окт!G23+нояб!G23+дек!G23</f>
        <v>50.321</v>
      </c>
      <c r="H23" s="54">
        <f>окт!H23+нояб!H23+дек!H23</f>
        <v>322.40099999999995</v>
      </c>
      <c r="I23" s="26">
        <f aca="true" t="shared" si="1" ref="I23:I43">G23+H23</f>
        <v>372.722</v>
      </c>
      <c r="J23" s="27">
        <f aca="true" t="shared" si="2" ref="J23:L44">IF(D23&gt;0,G23/D23,0)</f>
        <v>0.8934836647727272</v>
      </c>
      <c r="K23" s="27">
        <f t="shared" si="2"/>
        <v>0.8506443135764944</v>
      </c>
      <c r="L23" s="28">
        <f t="shared" si="2"/>
        <v>0.8561865995295501</v>
      </c>
      <c r="M23" s="55">
        <f>окт!M23+нояб!M23+дек!M23</f>
        <v>124240.35999999999</v>
      </c>
      <c r="N23" s="29">
        <f aca="true" t="shared" si="3" ref="N23:N43">IF(I23&gt;0,M23/I23,0)</f>
        <v>333.3325105574664</v>
      </c>
    </row>
    <row r="24" spans="1:14" ht="12.75">
      <c r="A24" s="23" t="s">
        <v>97</v>
      </c>
      <c r="B24" s="30"/>
      <c r="C24" s="30"/>
      <c r="D24" s="25">
        <f>SUM(окт:дек!D24)</f>
        <v>56.32</v>
      </c>
      <c r="E24" s="25">
        <f>SUM(окт:дек!E24)</f>
        <v>394.79999999999995</v>
      </c>
      <c r="F24" s="25">
        <f>D24+E24</f>
        <v>451.11999999999995</v>
      </c>
      <c r="G24" s="54">
        <f>окт!G24+нояб!G24+дек!G24</f>
        <v>49.715</v>
      </c>
      <c r="H24" s="54">
        <f>окт!H24+нояб!H24+дек!H24</f>
        <v>358.908</v>
      </c>
      <c r="I24" s="26">
        <f>G24+H24</f>
        <v>408.62300000000005</v>
      </c>
      <c r="J24" s="27">
        <f>IF(D24&gt;0,G24/D24,0)</f>
        <v>0.8827237215909092</v>
      </c>
      <c r="K24" s="27">
        <f>IF(E24&gt;0,H24/E24,0)</f>
        <v>0.9090881458966567</v>
      </c>
      <c r="L24" s="28">
        <f>IF(F24&gt;0,I24/F24,0)</f>
        <v>0.9057966838091862</v>
      </c>
      <c r="M24" s="55">
        <f>окт!M24+нояб!M24+дек!M24</f>
        <v>121408.25</v>
      </c>
      <c r="N24" s="29">
        <f>IF(I24&gt;0,M24/I24,0)</f>
        <v>297.11555639305664</v>
      </c>
    </row>
    <row r="25" spans="1:14" ht="12.75">
      <c r="A25" s="31" t="s">
        <v>8</v>
      </c>
      <c r="B25" s="30"/>
      <c r="C25" s="30"/>
      <c r="D25" s="25">
        <f>SUM(окт:дек!D25)</f>
        <v>90.112</v>
      </c>
      <c r="E25" s="25">
        <f>SUM(окт:дек!E25)</f>
        <v>584.304</v>
      </c>
      <c r="F25" s="25">
        <f t="shared" si="0"/>
        <v>674.4159999999999</v>
      </c>
      <c r="G25" s="54">
        <f>окт!G25+нояб!G25+дек!G25</f>
        <v>82.124</v>
      </c>
      <c r="H25" s="54">
        <f>окт!H25+нояб!H25+дек!H25</f>
        <v>525.375</v>
      </c>
      <c r="I25" s="26">
        <f t="shared" si="1"/>
        <v>607.499</v>
      </c>
      <c r="J25" s="27">
        <f t="shared" si="2"/>
        <v>0.9113547585227273</v>
      </c>
      <c r="K25" s="27">
        <f t="shared" si="2"/>
        <v>0.8991466770722091</v>
      </c>
      <c r="L25" s="28">
        <f t="shared" si="2"/>
        <v>0.9007778581765559</v>
      </c>
      <c r="M25" s="55">
        <f>окт!M25+нояб!M25+дек!M25</f>
        <v>199152.36000000002</v>
      </c>
      <c r="N25" s="29">
        <f t="shared" si="3"/>
        <v>327.8233544417357</v>
      </c>
    </row>
    <row r="26" spans="1:14" ht="12.75">
      <c r="A26" s="31" t="s">
        <v>35</v>
      </c>
      <c r="B26" s="30"/>
      <c r="C26" s="30"/>
      <c r="D26" s="25">
        <f>SUM(окт:дек!D26)</f>
        <v>50.688</v>
      </c>
      <c r="E26" s="25">
        <f>SUM(окт:дек!E26)</f>
        <v>331.632</v>
      </c>
      <c r="F26" s="25">
        <f t="shared" si="0"/>
        <v>382.32</v>
      </c>
      <c r="G26" s="54">
        <f>окт!G26+нояб!G26+дек!G26</f>
        <v>52.104</v>
      </c>
      <c r="H26" s="54">
        <f>окт!H26+нояб!H26+дек!H26</f>
        <v>325.385</v>
      </c>
      <c r="I26" s="26">
        <f t="shared" si="1"/>
        <v>377.489</v>
      </c>
      <c r="J26" s="27">
        <f t="shared" si="2"/>
        <v>1.027935606060606</v>
      </c>
      <c r="K26" s="27">
        <f t="shared" si="2"/>
        <v>0.9811628552130072</v>
      </c>
      <c r="L26" s="28">
        <f t="shared" si="2"/>
        <v>0.9873639882820673</v>
      </c>
      <c r="M26" s="55">
        <f>окт!M26+нояб!M26+дек!M26</f>
        <v>247466.93</v>
      </c>
      <c r="N26" s="29">
        <f t="shared" si="3"/>
        <v>655.5606388530528</v>
      </c>
    </row>
    <row r="27" spans="1:14" ht="12.75">
      <c r="A27" s="31" t="s">
        <v>36</v>
      </c>
      <c r="B27" s="30"/>
      <c r="C27" s="30"/>
      <c r="D27" s="25">
        <f>SUM(окт:дек!D27)</f>
        <v>25.344</v>
      </c>
      <c r="E27" s="25">
        <f>SUM(окт:дек!E27)</f>
        <v>173.712</v>
      </c>
      <c r="F27" s="25">
        <f t="shared" si="0"/>
        <v>199.05599999999998</v>
      </c>
      <c r="G27" s="54">
        <f>окт!G27+нояб!G27+дек!G27</f>
        <v>25.008000000000003</v>
      </c>
      <c r="H27" s="54">
        <f>окт!H27+нояб!H27+дек!H27</f>
        <v>190.427</v>
      </c>
      <c r="I27" s="26">
        <f t="shared" si="1"/>
        <v>215.435</v>
      </c>
      <c r="J27" s="27">
        <f t="shared" si="2"/>
        <v>0.9867424242424243</v>
      </c>
      <c r="K27" s="27">
        <f t="shared" si="2"/>
        <v>1.0962224831905683</v>
      </c>
      <c r="L27" s="28">
        <f t="shared" si="2"/>
        <v>1.0822833775419984</v>
      </c>
      <c r="M27" s="55">
        <f>окт!M27+нояб!M27+дек!M27</f>
        <v>22763.37</v>
      </c>
      <c r="N27" s="29">
        <f t="shared" si="3"/>
        <v>105.66235755564323</v>
      </c>
    </row>
    <row r="28" spans="1:14" ht="12.75">
      <c r="A28" s="32" t="s">
        <v>9</v>
      </c>
      <c r="B28" s="30"/>
      <c r="C28" s="30"/>
      <c r="D28" s="25">
        <f>SUM(окт:дек!D28)</f>
        <v>1098.24</v>
      </c>
      <c r="E28" s="25">
        <f>SUM(окт:дек!E28)</f>
        <v>7106.4000000000015</v>
      </c>
      <c r="F28" s="25">
        <f t="shared" si="0"/>
        <v>8204.640000000001</v>
      </c>
      <c r="G28" s="54">
        <f>окт!G28+нояб!G28+дек!G28</f>
        <v>1087.246</v>
      </c>
      <c r="H28" s="54">
        <f>окт!H28+нояб!H28+дек!H28</f>
        <v>6735.977</v>
      </c>
      <c r="I28" s="26">
        <f t="shared" si="1"/>
        <v>7823.223</v>
      </c>
      <c r="J28" s="27">
        <f t="shared" si="2"/>
        <v>0.9899894376456877</v>
      </c>
      <c r="K28" s="27">
        <f t="shared" si="2"/>
        <v>0.9478747326353707</v>
      </c>
      <c r="L28" s="28">
        <f t="shared" si="2"/>
        <v>0.9535120370912068</v>
      </c>
      <c r="M28" s="55">
        <f>окт!M28+нояб!M28+дек!M28</f>
        <v>494123.21</v>
      </c>
      <c r="N28" s="29">
        <f t="shared" si="3"/>
        <v>63.161079519272306</v>
      </c>
    </row>
    <row r="29" spans="1:14" ht="12.75">
      <c r="A29" s="31" t="s">
        <v>10</v>
      </c>
      <c r="B29" s="30"/>
      <c r="C29" s="30"/>
      <c r="D29" s="25">
        <f>SUM(окт:дек!D29)</f>
        <v>84.48</v>
      </c>
      <c r="E29" s="25">
        <f>SUM(окт:дек!E29)</f>
        <v>631.6800000000001</v>
      </c>
      <c r="F29" s="25">
        <f t="shared" si="0"/>
        <v>716.1600000000001</v>
      </c>
      <c r="G29" s="54">
        <f>окт!G29+нояб!G29+дек!G29</f>
        <v>87.263</v>
      </c>
      <c r="H29" s="54">
        <f>окт!H29+нояб!H29+дек!H29</f>
        <v>605.449</v>
      </c>
      <c r="I29" s="26">
        <f t="shared" si="1"/>
        <v>692.712</v>
      </c>
      <c r="J29" s="27">
        <f t="shared" si="2"/>
        <v>1.0329427083333333</v>
      </c>
      <c r="K29" s="27">
        <f t="shared" si="2"/>
        <v>0.9584742274569401</v>
      </c>
      <c r="L29" s="28">
        <f t="shared" si="2"/>
        <v>0.9672587131367291</v>
      </c>
      <c r="M29" s="55">
        <f>окт!M29+нояб!M29+дек!M29</f>
        <v>232075.80000000002</v>
      </c>
      <c r="N29" s="29">
        <f t="shared" si="3"/>
        <v>335.0249454318678</v>
      </c>
    </row>
    <row r="30" spans="1:14" ht="12.75">
      <c r="A30" s="31" t="s">
        <v>11</v>
      </c>
      <c r="B30" s="30"/>
      <c r="C30" s="30"/>
      <c r="D30" s="25">
        <f>SUM(окт:дек!D30)</f>
        <v>25.344</v>
      </c>
      <c r="E30" s="25">
        <f>SUM(окт:дек!E30)</f>
        <v>173.712</v>
      </c>
      <c r="F30" s="25">
        <f t="shared" si="0"/>
        <v>199.05599999999998</v>
      </c>
      <c r="G30" s="54">
        <f>окт!G30+нояб!G30+дек!G30</f>
        <v>24.459</v>
      </c>
      <c r="H30" s="54">
        <f>окт!H30+нояб!H30+дек!H30</f>
        <v>167.226</v>
      </c>
      <c r="I30" s="26">
        <f t="shared" si="1"/>
        <v>191.685</v>
      </c>
      <c r="J30" s="27">
        <f t="shared" si="2"/>
        <v>0.9650804924242423</v>
      </c>
      <c r="K30" s="27">
        <f t="shared" si="2"/>
        <v>0.9626623376623377</v>
      </c>
      <c r="L30" s="28">
        <f t="shared" si="2"/>
        <v>0.9629702194357368</v>
      </c>
      <c r="M30" s="55">
        <f>окт!M30+нояб!M30+дек!M30</f>
        <v>34311.6</v>
      </c>
      <c r="N30" s="29">
        <f t="shared" si="3"/>
        <v>178.99992174661554</v>
      </c>
    </row>
    <row r="31" spans="1:14" ht="12.75">
      <c r="A31" s="31" t="s">
        <v>12</v>
      </c>
      <c r="B31" s="30"/>
      <c r="C31" s="30"/>
      <c r="D31" s="25">
        <f>SUM(окт:дек!D31)</f>
        <v>11.264</v>
      </c>
      <c r="E31" s="25">
        <f>SUM(окт:дек!E31)</f>
        <v>94.752</v>
      </c>
      <c r="F31" s="25">
        <f t="shared" si="0"/>
        <v>106.01599999999999</v>
      </c>
      <c r="G31" s="54">
        <f>окт!G31+нояб!G31+дек!G31</f>
        <v>12.475</v>
      </c>
      <c r="H31" s="54">
        <f>окт!H31+нояб!H31+дек!H31</f>
        <v>81.14500000000001</v>
      </c>
      <c r="I31" s="26">
        <f t="shared" si="1"/>
        <v>93.62</v>
      </c>
      <c r="J31" s="27">
        <f t="shared" si="2"/>
        <v>1.107510653409091</v>
      </c>
      <c r="K31" s="27">
        <f t="shared" si="2"/>
        <v>0.8563935325903412</v>
      </c>
      <c r="L31" s="28">
        <f t="shared" si="2"/>
        <v>0.8830742529429522</v>
      </c>
      <c r="M31" s="55">
        <f>окт!M31+нояб!M31+дек!M31</f>
        <v>31463.89</v>
      </c>
      <c r="N31" s="29">
        <f t="shared" si="3"/>
        <v>336.0808587908566</v>
      </c>
    </row>
    <row r="32" spans="1:14" ht="12.75">
      <c r="A32" s="31" t="s">
        <v>13</v>
      </c>
      <c r="B32" s="30"/>
      <c r="C32" s="30"/>
      <c r="D32" s="25">
        <f>SUM(окт:дек!D32)</f>
        <v>2816</v>
      </c>
      <c r="E32" s="25">
        <f>SUM(окт:дек!E32)</f>
        <v>15792</v>
      </c>
      <c r="F32" s="25">
        <f t="shared" si="0"/>
        <v>18608</v>
      </c>
      <c r="G32" s="54">
        <f>окт!G32+нояб!G32+дек!G32</f>
        <v>2472</v>
      </c>
      <c r="H32" s="54">
        <f>окт!H32+нояб!H32+дек!H32</f>
        <v>14220</v>
      </c>
      <c r="I32" s="26">
        <f t="shared" si="1"/>
        <v>16692</v>
      </c>
      <c r="J32" s="27">
        <f t="shared" si="2"/>
        <v>0.8778409090909091</v>
      </c>
      <c r="K32" s="27">
        <f t="shared" si="2"/>
        <v>0.9004559270516718</v>
      </c>
      <c r="L32" s="28">
        <f t="shared" si="2"/>
        <v>0.8970335339638865</v>
      </c>
      <c r="M32" s="55">
        <f>окт!M32+нояб!M32+дек!M32</f>
        <v>124679.79</v>
      </c>
      <c r="N32" s="29">
        <f t="shared" si="3"/>
        <v>7.469433860531991</v>
      </c>
    </row>
    <row r="33" spans="1:14" ht="12.75">
      <c r="A33" s="31" t="s">
        <v>14</v>
      </c>
      <c r="B33" s="30"/>
      <c r="C33" s="30"/>
      <c r="D33" s="25">
        <f>SUM(окт:дек!D33)</f>
        <v>70.4</v>
      </c>
      <c r="E33" s="25">
        <f>SUM(окт:дек!E33)</f>
        <v>457.968</v>
      </c>
      <c r="F33" s="25">
        <f t="shared" si="0"/>
        <v>528.368</v>
      </c>
      <c r="G33" s="54">
        <f>окт!G33+нояб!G33+дек!G33</f>
        <v>62.887</v>
      </c>
      <c r="H33" s="54">
        <f>окт!H33+нояб!H33+дек!H33</f>
        <v>408.55100000000004</v>
      </c>
      <c r="I33" s="26">
        <f t="shared" si="1"/>
        <v>471.43800000000005</v>
      </c>
      <c r="J33" s="27">
        <f t="shared" si="2"/>
        <v>0.8932812499999999</v>
      </c>
      <c r="K33" s="27">
        <f t="shared" si="2"/>
        <v>0.8920950808790135</v>
      </c>
      <c r="L33" s="28">
        <f t="shared" si="2"/>
        <v>0.8922531266087272</v>
      </c>
      <c r="M33" s="55">
        <f>окт!M33+нояб!M33+дек!M33</f>
        <v>11405.55</v>
      </c>
      <c r="N33" s="29">
        <f t="shared" si="3"/>
        <v>24.193107046949965</v>
      </c>
    </row>
    <row r="34" spans="1:14" ht="12.75">
      <c r="A34" s="31" t="s">
        <v>15</v>
      </c>
      <c r="B34" s="30"/>
      <c r="C34" s="30"/>
      <c r="D34" s="25">
        <f>SUM(окт:дек!D34)</f>
        <v>84.48</v>
      </c>
      <c r="E34" s="25">
        <f>SUM(окт:дек!E34)</f>
        <v>679.056</v>
      </c>
      <c r="F34" s="25">
        <f t="shared" si="0"/>
        <v>763.5360000000001</v>
      </c>
      <c r="G34" s="54">
        <f>окт!G34+нояб!G34+дек!G34</f>
        <v>98.041</v>
      </c>
      <c r="H34" s="54">
        <f>окт!H34+нояб!H34+дек!H34</f>
        <v>693.4770000000001</v>
      </c>
      <c r="I34" s="26">
        <f t="shared" si="1"/>
        <v>791.518</v>
      </c>
      <c r="J34" s="27">
        <f t="shared" si="2"/>
        <v>1.1605232007575756</v>
      </c>
      <c r="K34" s="27">
        <f t="shared" si="2"/>
        <v>1.0212368346645933</v>
      </c>
      <c r="L34" s="28">
        <f t="shared" si="2"/>
        <v>1.0366479118207916</v>
      </c>
      <c r="M34" s="55">
        <f>окт!M34+нояб!M34+дек!M34</f>
        <v>42329.65</v>
      </c>
      <c r="N34" s="29">
        <f t="shared" si="3"/>
        <v>53.47907438617947</v>
      </c>
    </row>
    <row r="35" spans="1:14" ht="12.75">
      <c r="A35" s="31" t="s">
        <v>16</v>
      </c>
      <c r="B35" s="30"/>
      <c r="C35" s="30"/>
      <c r="D35" s="25">
        <f>SUM(окт:дек!D35)</f>
        <v>22.528</v>
      </c>
      <c r="E35" s="25">
        <f>SUM(окт:дек!E35)</f>
        <v>189.504</v>
      </c>
      <c r="F35" s="25">
        <f t="shared" si="0"/>
        <v>212.03199999999998</v>
      </c>
      <c r="G35" s="54">
        <f>окт!G35+нояб!G35+дек!G35</f>
        <v>23.162</v>
      </c>
      <c r="H35" s="54">
        <f>окт!H35+нояб!H35+дек!H35</f>
        <v>157.469</v>
      </c>
      <c r="I35" s="26">
        <f t="shared" si="1"/>
        <v>180.631</v>
      </c>
      <c r="J35" s="27">
        <f t="shared" si="2"/>
        <v>1.0281427556818181</v>
      </c>
      <c r="K35" s="27">
        <f t="shared" si="2"/>
        <v>0.8309534363390746</v>
      </c>
      <c r="L35" s="28">
        <f t="shared" si="2"/>
        <v>0.8519044295200725</v>
      </c>
      <c r="M35" s="55">
        <f>окт!M35+нояб!M35+дек!M35</f>
        <v>7045.21</v>
      </c>
      <c r="N35" s="29">
        <f t="shared" si="3"/>
        <v>39.0033272251164</v>
      </c>
    </row>
    <row r="36" spans="1:14" ht="12.75">
      <c r="A36" s="31" t="s">
        <v>17</v>
      </c>
      <c r="B36" s="30"/>
      <c r="C36" s="30"/>
      <c r="D36" s="25">
        <f>SUM(окт:дек!D36)</f>
        <v>70.4</v>
      </c>
      <c r="E36" s="25">
        <f>SUM(окт:дек!E36)</f>
        <v>473.75999999999993</v>
      </c>
      <c r="F36" s="25">
        <f t="shared" si="0"/>
        <v>544.16</v>
      </c>
      <c r="G36" s="54">
        <f>окт!G36+нояб!G36+дек!G36</f>
        <v>67.625</v>
      </c>
      <c r="H36" s="54">
        <f>окт!H36+нояб!H36+дек!H36</f>
        <v>471.60900000000004</v>
      </c>
      <c r="I36" s="26">
        <f t="shared" si="1"/>
        <v>539.234</v>
      </c>
      <c r="J36" s="27">
        <f t="shared" si="2"/>
        <v>0.9605823863636362</v>
      </c>
      <c r="K36" s="27">
        <f t="shared" si="2"/>
        <v>0.9954597264437692</v>
      </c>
      <c r="L36" s="28">
        <f t="shared" si="2"/>
        <v>0.9909475154366364</v>
      </c>
      <c r="M36" s="55">
        <f>окт!M36+нояб!M36+дек!M36</f>
        <v>40441.81</v>
      </c>
      <c r="N36" s="29">
        <f t="shared" si="3"/>
        <v>74.9986276829725</v>
      </c>
    </row>
    <row r="37" spans="1:14" ht="12.75">
      <c r="A37" s="31" t="s">
        <v>18</v>
      </c>
      <c r="B37" s="30"/>
      <c r="C37" s="30"/>
      <c r="D37" s="25">
        <f>SUM(окт:дек!D37)</f>
        <v>33.792</v>
      </c>
      <c r="E37" s="25">
        <f>SUM(окт:дек!E37)</f>
        <v>315.84000000000003</v>
      </c>
      <c r="F37" s="25">
        <f t="shared" si="0"/>
        <v>349.63200000000006</v>
      </c>
      <c r="G37" s="54">
        <f>окт!G37+нояб!G37+дек!G37</f>
        <v>20.328</v>
      </c>
      <c r="H37" s="54">
        <f>окт!H37+нояб!H37+дек!H37</f>
        <v>147.579</v>
      </c>
      <c r="I37" s="26">
        <f t="shared" si="1"/>
        <v>167.907</v>
      </c>
      <c r="J37" s="27">
        <f t="shared" si="2"/>
        <v>0.6015625</v>
      </c>
      <c r="K37" s="27">
        <f t="shared" si="2"/>
        <v>0.4672587386018237</v>
      </c>
      <c r="L37" s="28">
        <f t="shared" si="2"/>
        <v>0.4802392229544206</v>
      </c>
      <c r="M37" s="55">
        <f>окт!M37+нояб!M37+дек!M37</f>
        <v>18968.89</v>
      </c>
      <c r="N37" s="29">
        <f t="shared" si="3"/>
        <v>112.97259792623296</v>
      </c>
    </row>
    <row r="38" spans="1:14" ht="12.75">
      <c r="A38" s="31" t="s">
        <v>19</v>
      </c>
      <c r="B38" s="30"/>
      <c r="C38" s="30"/>
      <c r="D38" s="25">
        <f>SUM(окт:дек!D38)</f>
        <v>25.344</v>
      </c>
      <c r="E38" s="25">
        <f>SUM(окт:дек!E38)</f>
        <v>173.712</v>
      </c>
      <c r="F38" s="25">
        <f t="shared" si="0"/>
        <v>199.05599999999998</v>
      </c>
      <c r="G38" s="54">
        <f>окт!G38+нояб!G38+дек!G38</f>
        <v>25.24</v>
      </c>
      <c r="H38" s="54">
        <f>окт!H38+нояб!H38+дек!H38</f>
        <v>174.916</v>
      </c>
      <c r="I38" s="26">
        <f t="shared" si="1"/>
        <v>200.156</v>
      </c>
      <c r="J38" s="27">
        <f t="shared" si="2"/>
        <v>0.9958964646464645</v>
      </c>
      <c r="K38" s="27">
        <f t="shared" si="2"/>
        <v>1.0069310122501611</v>
      </c>
      <c r="L38" s="28">
        <f t="shared" si="2"/>
        <v>1.00552608311229</v>
      </c>
      <c r="M38" s="55">
        <f>окт!M38+нояб!M38+дек!M38</f>
        <v>25902.39</v>
      </c>
      <c r="N38" s="29">
        <f t="shared" si="3"/>
        <v>129.41100941265813</v>
      </c>
    </row>
    <row r="39" spans="1:14" ht="12.75">
      <c r="A39" s="31" t="s">
        <v>20</v>
      </c>
      <c r="B39" s="30"/>
      <c r="C39" s="30"/>
      <c r="D39" s="25">
        <f>SUM(окт:дек!D39)</f>
        <v>267.52</v>
      </c>
      <c r="E39" s="25">
        <f>SUM(окт:дек!E39)</f>
        <v>1579.1999999999998</v>
      </c>
      <c r="F39" s="25">
        <f t="shared" si="0"/>
        <v>1846.7199999999998</v>
      </c>
      <c r="G39" s="54">
        <f>окт!G39+нояб!G39+дек!G39</f>
        <v>272.51</v>
      </c>
      <c r="H39" s="54">
        <f>окт!H39+нояб!H39+дек!H39</f>
        <v>1517.963</v>
      </c>
      <c r="I39" s="26">
        <f t="shared" si="1"/>
        <v>1790.473</v>
      </c>
      <c r="J39" s="27">
        <f t="shared" si="2"/>
        <v>1.0186528110047848</v>
      </c>
      <c r="K39" s="27">
        <f t="shared" si="2"/>
        <v>0.961222771023303</v>
      </c>
      <c r="L39" s="28">
        <f t="shared" si="2"/>
        <v>0.9695422153872814</v>
      </c>
      <c r="M39" s="55">
        <f>окт!M39+нояб!M39+дек!M39</f>
        <v>158504.07</v>
      </c>
      <c r="N39" s="29">
        <f t="shared" si="3"/>
        <v>88.52636705496258</v>
      </c>
    </row>
    <row r="40" spans="1:14" ht="12.75">
      <c r="A40" s="31" t="s">
        <v>21</v>
      </c>
      <c r="B40" s="30"/>
      <c r="C40" s="30"/>
      <c r="D40" s="25">
        <f>SUM(окт:дек!D40)</f>
        <v>281.6</v>
      </c>
      <c r="E40" s="25">
        <f>SUM(окт:дек!E40)</f>
        <v>1579.1999999999998</v>
      </c>
      <c r="F40" s="25">
        <f t="shared" si="0"/>
        <v>1860.7999999999997</v>
      </c>
      <c r="G40" s="54">
        <f>окт!G40+нояб!G40+дек!G40</f>
        <v>233.39999999999998</v>
      </c>
      <c r="H40" s="54">
        <f>окт!H40+нояб!H40+дек!H40</f>
        <v>1518.1999999999998</v>
      </c>
      <c r="I40" s="26">
        <f t="shared" si="1"/>
        <v>1751.6</v>
      </c>
      <c r="J40" s="27">
        <f t="shared" si="2"/>
        <v>0.8288352272727271</v>
      </c>
      <c r="K40" s="27">
        <f t="shared" si="2"/>
        <v>0.9613728470111449</v>
      </c>
      <c r="L40" s="28">
        <f t="shared" si="2"/>
        <v>0.9413155631986243</v>
      </c>
      <c r="M40" s="55">
        <f>окт!M40+нояб!M40+дек!M40</f>
        <v>90370.16</v>
      </c>
      <c r="N40" s="29">
        <f t="shared" si="3"/>
        <v>51.59292075816397</v>
      </c>
    </row>
    <row r="41" spans="1:14" ht="12.75">
      <c r="A41" s="31" t="s">
        <v>22</v>
      </c>
      <c r="B41" s="30"/>
      <c r="C41" s="30"/>
      <c r="D41" s="25">
        <f>SUM(окт:дек!D41)</f>
        <v>337.92</v>
      </c>
      <c r="E41" s="25">
        <f>SUM(окт:дек!E41)</f>
        <v>2210.88</v>
      </c>
      <c r="F41" s="25">
        <f t="shared" si="0"/>
        <v>2548.8</v>
      </c>
      <c r="G41" s="54">
        <f>окт!G41+нояб!G41+дек!G41</f>
        <v>294.554</v>
      </c>
      <c r="H41" s="54">
        <f>окт!H41+нояб!H41+дек!H41</f>
        <v>2014.426</v>
      </c>
      <c r="I41" s="26">
        <f t="shared" si="1"/>
        <v>2308.98</v>
      </c>
      <c r="J41" s="27">
        <f t="shared" si="2"/>
        <v>0.8716678503787878</v>
      </c>
      <c r="K41" s="27">
        <f t="shared" si="2"/>
        <v>0.9111421696338109</v>
      </c>
      <c r="L41" s="28">
        <f t="shared" si="2"/>
        <v>0.9059086629001882</v>
      </c>
      <c r="M41" s="55">
        <f>окт!M41+нояб!M41+дек!M41</f>
        <v>58904.02</v>
      </c>
      <c r="N41" s="29">
        <f t="shared" si="3"/>
        <v>25.510840284454606</v>
      </c>
    </row>
    <row r="42" spans="1:14" ht="12.75">
      <c r="A42" s="31" t="s">
        <v>23</v>
      </c>
      <c r="B42" s="30"/>
      <c r="C42" s="30"/>
      <c r="D42" s="25">
        <f>SUM(окт:дек!D42)</f>
        <v>506.88</v>
      </c>
      <c r="E42" s="25">
        <f>SUM(окт:дек!E42)</f>
        <v>3474.2400000000002</v>
      </c>
      <c r="F42" s="25">
        <f t="shared" si="0"/>
        <v>3981.1200000000003</v>
      </c>
      <c r="G42" s="54">
        <f>окт!G42+нояб!G42+дек!G42</f>
        <v>450.87300000000005</v>
      </c>
      <c r="H42" s="54">
        <f>окт!H42+нояб!H42+дек!H42</f>
        <v>3232.382</v>
      </c>
      <c r="I42" s="26">
        <f t="shared" si="1"/>
        <v>3683.255</v>
      </c>
      <c r="J42" s="27">
        <f t="shared" si="2"/>
        <v>0.8895063920454547</v>
      </c>
      <c r="K42" s="27">
        <f t="shared" si="2"/>
        <v>0.9303853504651377</v>
      </c>
      <c r="L42" s="28">
        <f t="shared" si="2"/>
        <v>0.9251806024435334</v>
      </c>
      <c r="M42" s="55">
        <f>окт!M42+нояб!M42+дек!M42</f>
        <v>181419.12000000002</v>
      </c>
      <c r="N42" s="29">
        <f t="shared" si="3"/>
        <v>49.25510723531225</v>
      </c>
    </row>
    <row r="43" spans="1:14" ht="12.75">
      <c r="A43" s="31" t="s">
        <v>24</v>
      </c>
      <c r="B43" s="30"/>
      <c r="C43" s="30"/>
      <c r="D43" s="25">
        <f>SUM(окт:дек!D43)</f>
        <v>112.64</v>
      </c>
      <c r="E43" s="25">
        <f>SUM(окт:дек!E43)</f>
        <v>789.5999999999999</v>
      </c>
      <c r="F43" s="25">
        <f t="shared" si="0"/>
        <v>902.2399999999999</v>
      </c>
      <c r="G43" s="54">
        <f>окт!G43+нояб!G43+дек!G43</f>
        <v>112.851</v>
      </c>
      <c r="H43" s="54">
        <f>окт!H43+нояб!H43+дек!H43</f>
        <v>717.575</v>
      </c>
      <c r="I43" s="26">
        <f t="shared" si="1"/>
        <v>830.426</v>
      </c>
      <c r="J43" s="27">
        <f t="shared" si="2"/>
        <v>1.0018732244318183</v>
      </c>
      <c r="K43" s="27">
        <f t="shared" si="2"/>
        <v>0.9087829280648432</v>
      </c>
      <c r="L43" s="28">
        <f t="shared" si="2"/>
        <v>0.9204047703493529</v>
      </c>
      <c r="M43" s="55">
        <f>окт!M43+нояб!M43+дек!M43</f>
        <v>41286.6</v>
      </c>
      <c r="N43" s="29">
        <f t="shared" si="3"/>
        <v>49.71737397432161</v>
      </c>
    </row>
    <row r="44" spans="1:14" ht="12.75">
      <c r="A44" s="32" t="s">
        <v>25</v>
      </c>
      <c r="B44" s="30"/>
      <c r="C44" s="30"/>
      <c r="D44" s="25">
        <f>SUM(окт:дек!D44)</f>
        <v>168.96</v>
      </c>
      <c r="E44" s="25">
        <f>SUM(окт:дек!E44)</f>
        <v>1263.3600000000001</v>
      </c>
      <c r="F44" s="25">
        <f>D44+E44</f>
        <v>1432.3200000000002</v>
      </c>
      <c r="G44" s="54">
        <f>окт!G44+нояб!G44+дек!G44</f>
        <v>151.004</v>
      </c>
      <c r="H44" s="54">
        <f>окт!H44+нояб!H44+дек!H44</f>
        <v>1032.888</v>
      </c>
      <c r="I44" s="26">
        <f>G44+H44</f>
        <v>1183.8919999999998</v>
      </c>
      <c r="J44" s="27">
        <f t="shared" si="2"/>
        <v>0.8937263257575757</v>
      </c>
      <c r="K44" s="27">
        <f t="shared" si="2"/>
        <v>0.8175721884498479</v>
      </c>
      <c r="L44" s="28">
        <f t="shared" si="2"/>
        <v>0.8265555183199282</v>
      </c>
      <c r="M44" s="55">
        <f>окт!M44+нояб!M44+дек!M44</f>
        <v>75296.57999999999</v>
      </c>
      <c r="N44" s="29">
        <f>IF(I44&gt;0,M44/I44,0)</f>
        <v>63.60088589161849</v>
      </c>
    </row>
    <row r="45" spans="1:14" s="20" customFormat="1" ht="12.75">
      <c r="A45" s="44" t="s">
        <v>54</v>
      </c>
      <c r="B45" s="45"/>
      <c r="C45" s="45"/>
      <c r="D45" s="46">
        <f>SUM(D22:D44)</f>
        <v>6437.376000000001</v>
      </c>
      <c r="E45" s="46">
        <f>SUM(E22:E44)</f>
        <v>39716.88</v>
      </c>
      <c r="F45" s="46">
        <f>D45+E45</f>
        <v>46154.256</v>
      </c>
      <c r="G45" s="54">
        <f>окт!G45+нояб!G45+дек!G45</f>
        <v>5877.726000000001</v>
      </c>
      <c r="H45" s="54">
        <f>окт!H45+нояб!H45+дек!H45</f>
        <v>36500.581</v>
      </c>
      <c r="I45" s="47">
        <f>G45+H45</f>
        <v>42378.307</v>
      </c>
      <c r="J45" s="59">
        <f>IF(G45&gt;0,G45/D45,0)</f>
        <v>0.913062403066094</v>
      </c>
      <c r="K45" s="59">
        <f>IF(E45&gt;0,H45/E45,0)</f>
        <v>0.9190193439162392</v>
      </c>
      <c r="L45" s="59">
        <f>IF(F45&gt;0,I45/F45,0)</f>
        <v>0.918188498152803</v>
      </c>
      <c r="M45" s="55">
        <f>окт!M45+нояб!M45+дек!M45</f>
        <v>2833797.8000000003</v>
      </c>
      <c r="N45" s="60"/>
    </row>
    <row r="46" ht="13.5" thickBot="1"/>
    <row r="47" spans="1:14" s="37" customFormat="1" ht="21" customHeight="1" thickBot="1">
      <c r="A47" s="33" t="s">
        <v>48</v>
      </c>
      <c r="B47" s="34">
        <f>SUM(B22:B24)</f>
        <v>0</v>
      </c>
      <c r="C47" s="34">
        <f>SUM(C22:C24)</f>
        <v>0</v>
      </c>
      <c r="D47" s="35">
        <f aca="true" t="shared" si="4" ref="D47:I47">SUM(D22:D24)</f>
        <v>253.44</v>
      </c>
      <c r="E47" s="35">
        <f t="shared" si="4"/>
        <v>1642.368</v>
      </c>
      <c r="F47" s="35">
        <f t="shared" si="4"/>
        <v>1895.808</v>
      </c>
      <c r="G47" s="35">
        <f t="shared" si="4"/>
        <v>222.572</v>
      </c>
      <c r="H47" s="35">
        <f t="shared" si="4"/>
        <v>1562.562</v>
      </c>
      <c r="I47" s="35">
        <f t="shared" si="4"/>
        <v>1785.134</v>
      </c>
      <c r="J47" s="61">
        <f>IF(G47=0,0,G47/D47)</f>
        <v>0.8782039141414142</v>
      </c>
      <c r="K47" s="61">
        <f>IF(H47=0,0,H47/E47)</f>
        <v>0.951407967032967</v>
      </c>
      <c r="L47" s="61">
        <f>IF(I47&gt;0,I47/F47,0)</f>
        <v>0.9416217254067922</v>
      </c>
      <c r="M47" s="58">
        <f>SUM(M22:M24)</f>
        <v>695886.7999999999</v>
      </c>
      <c r="N47" s="36">
        <f>IF(M47=0,0,M47/I47)</f>
        <v>389.82328497468535</v>
      </c>
    </row>
  </sheetData>
  <sheetProtection password="CC53" sheet="1" formatCells="0" formatColumns="0" formatRows="0" insertColumns="0" insertRows="0" insertHyperlinks="0" deleteColumns="0" deleteRows="0" sort="0" autoFilter="0" pivotTables="0"/>
  <mergeCells count="19">
    <mergeCell ref="L16:M16"/>
    <mergeCell ref="L17:M17"/>
    <mergeCell ref="A15:B15"/>
    <mergeCell ref="L15:M15"/>
    <mergeCell ref="C8:C10"/>
    <mergeCell ref="D8:F10"/>
    <mergeCell ref="A11:B11"/>
    <mergeCell ref="L13:N13"/>
    <mergeCell ref="L14:M14"/>
    <mergeCell ref="E2:G2"/>
    <mergeCell ref="A1:G1"/>
    <mergeCell ref="A19:N19"/>
    <mergeCell ref="A20:A21"/>
    <mergeCell ref="B20:C20"/>
    <mergeCell ref="D20:F20"/>
    <mergeCell ref="G20:I20"/>
    <mergeCell ref="J20:L20"/>
    <mergeCell ref="M20:M21"/>
    <mergeCell ref="N20:N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A1">
      <selection activeCell="B6" sqref="B6"/>
    </sheetView>
  </sheetViews>
  <sheetFormatPr defaultColWidth="9.125" defaultRowHeight="12.75"/>
  <cols>
    <col min="1" max="1" width="32.625" style="2" customWidth="1"/>
    <col min="2" max="2" width="14.00390625" style="2" customWidth="1"/>
    <col min="3" max="3" width="12.125" style="2" customWidth="1"/>
    <col min="4" max="8" width="11.375" style="2" customWidth="1"/>
    <col min="9" max="9" width="11.875" style="2" customWidth="1"/>
    <col min="10" max="12" width="11.375" style="2" customWidth="1"/>
    <col min="13" max="13" width="13.50390625" style="2" customWidth="1"/>
    <col min="14" max="14" width="11.375" style="2" customWidth="1"/>
    <col min="15" max="15" width="12.625" style="2" customWidth="1"/>
    <col min="16" max="16" width="12.125" style="2" customWidth="1"/>
    <col min="17" max="16384" width="9.125" style="2" customWidth="1"/>
  </cols>
  <sheetData>
    <row r="1" spans="1:14" ht="24" customHeight="1">
      <c r="A1" s="171" t="s">
        <v>89</v>
      </c>
      <c r="B1" s="171"/>
      <c r="C1" s="171"/>
      <c r="D1" s="171"/>
      <c r="E1" s="171"/>
      <c r="F1" s="171"/>
      <c r="G1" s="171"/>
      <c r="H1" s="119">
        <f>янв!H1</f>
        <v>2023</v>
      </c>
      <c r="I1" s="1" t="s">
        <v>74</v>
      </c>
      <c r="J1" s="1"/>
      <c r="K1" s="1"/>
      <c r="L1" s="1"/>
      <c r="M1" s="1"/>
      <c r="N1" s="1"/>
    </row>
    <row r="2" spans="1:7" ht="12.75">
      <c r="A2" s="3" t="s">
        <v>26</v>
      </c>
      <c r="B2" s="52"/>
      <c r="E2" s="183" t="s">
        <v>55</v>
      </c>
      <c r="F2" s="183"/>
      <c r="G2" s="183"/>
    </row>
    <row r="3" spans="1:2" ht="12.75">
      <c r="A3" s="3" t="s">
        <v>0</v>
      </c>
      <c r="B3" s="52"/>
    </row>
    <row r="4" spans="1:2" ht="12.75">
      <c r="A4" s="4" t="s">
        <v>30</v>
      </c>
      <c r="B4" s="53">
        <f>янв!B4</f>
        <v>448</v>
      </c>
    </row>
    <row r="5" spans="1:2" ht="12.75">
      <c r="A5" s="5" t="s">
        <v>28</v>
      </c>
      <c r="B5" s="140">
        <f>B6+B7</f>
        <v>69218</v>
      </c>
    </row>
    <row r="6" spans="1:2" ht="12.75">
      <c r="A6" s="6" t="s">
        <v>27</v>
      </c>
      <c r="B6" s="141">
        <f>SUM(янв:дек!B6)</f>
        <v>15442</v>
      </c>
    </row>
    <row r="7" spans="1:2" ht="13.5" thickBot="1">
      <c r="A7" s="7" t="s">
        <v>29</v>
      </c>
      <c r="B7" s="143">
        <f>SUM(янв:дек!B7)</f>
        <v>53776</v>
      </c>
    </row>
    <row r="8" spans="1:7" ht="12.75">
      <c r="A8" s="8" t="s">
        <v>31</v>
      </c>
      <c r="B8" s="128">
        <f>SUM(янв:дек!B8)</f>
        <v>9857293.510000002</v>
      </c>
      <c r="D8" s="117"/>
      <c r="G8" s="115"/>
    </row>
    <row r="9" spans="1:7" ht="12.75">
      <c r="A9" s="9" t="s">
        <v>32</v>
      </c>
      <c r="B9" s="129">
        <f>SUM(янв:дек!B9)</f>
        <v>9795812.190000001</v>
      </c>
      <c r="C9" s="114"/>
      <c r="D9" s="12"/>
      <c r="G9" s="111"/>
    </row>
    <row r="10" spans="1:7" ht="13.5" thickBot="1">
      <c r="A10" s="11" t="s">
        <v>33</v>
      </c>
      <c r="B10" s="130">
        <f>B8-B9</f>
        <v>61481.3200000003</v>
      </c>
      <c r="D10" s="118"/>
      <c r="G10" s="111"/>
    </row>
    <row r="11" spans="1:3" ht="12.75">
      <c r="A11" s="185" t="s">
        <v>40</v>
      </c>
      <c r="B11" s="185"/>
      <c r="C11" s="12"/>
    </row>
    <row r="12" spans="1:3" ht="12.75">
      <c r="A12" s="3" t="s">
        <v>34</v>
      </c>
      <c r="B12" s="13">
        <v>131</v>
      </c>
      <c r="C12" s="12"/>
    </row>
    <row r="13" spans="1:14" ht="12.75" customHeight="1">
      <c r="A13" s="3" t="s">
        <v>2</v>
      </c>
      <c r="B13" s="131">
        <f>IF(M45&gt;0,B8/B5,0)</f>
        <v>142.4093950995406</v>
      </c>
      <c r="C13" s="12"/>
      <c r="L13" s="176" t="s">
        <v>49</v>
      </c>
      <c r="M13" s="176"/>
      <c r="N13" s="176"/>
    </row>
    <row r="14" spans="1:14" ht="12.75">
      <c r="A14" s="14" t="s">
        <v>3</v>
      </c>
      <c r="B14" s="15">
        <f>B13/B12</f>
        <v>1.0870946190804627</v>
      </c>
      <c r="E14" s="42"/>
      <c r="L14" s="177" t="s">
        <v>50</v>
      </c>
      <c r="M14" s="177"/>
      <c r="N14" s="41">
        <v>2</v>
      </c>
    </row>
    <row r="15" spans="1:14" ht="12.75">
      <c r="A15" s="182" t="s">
        <v>41</v>
      </c>
      <c r="B15" s="182"/>
      <c r="C15" s="12"/>
      <c r="E15" s="43"/>
      <c r="L15" s="177" t="s">
        <v>53</v>
      </c>
      <c r="M15" s="177"/>
      <c r="N15" s="41">
        <v>1.25</v>
      </c>
    </row>
    <row r="16" spans="1:14" ht="12.75">
      <c r="A16" s="3" t="s">
        <v>42</v>
      </c>
      <c r="B16" s="16">
        <f>J45</f>
        <v>0.9138044337839456</v>
      </c>
      <c r="C16" s="12"/>
      <c r="L16" s="177" t="s">
        <v>52</v>
      </c>
      <c r="M16" s="177"/>
      <c r="N16" s="41">
        <v>2.63</v>
      </c>
    </row>
    <row r="17" spans="1:14" ht="13.5" thickBot="1">
      <c r="A17" s="3" t="s">
        <v>43</v>
      </c>
      <c r="B17" s="17">
        <f>K45</f>
        <v>0.9239852834791311</v>
      </c>
      <c r="C17" s="12"/>
      <c r="L17" s="177" t="s">
        <v>51</v>
      </c>
      <c r="M17" s="177"/>
      <c r="N17" s="41">
        <v>8.33</v>
      </c>
    </row>
    <row r="18" spans="1:3" ht="18" thickBot="1">
      <c r="A18" s="18" t="s">
        <v>44</v>
      </c>
      <c r="B18" s="19">
        <f>L45</f>
        <v>0.9218780163963195</v>
      </c>
      <c r="C18" s="12"/>
    </row>
    <row r="19" spans="1:14" ht="18.75" customHeight="1">
      <c r="A19" s="174" t="s">
        <v>1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</row>
    <row r="20" spans="1:14" s="20" customFormat="1" ht="39" customHeight="1">
      <c r="A20" s="186"/>
      <c r="B20" s="179" t="s">
        <v>37</v>
      </c>
      <c r="C20" s="179"/>
      <c r="D20" s="178" t="s">
        <v>38</v>
      </c>
      <c r="E20" s="178"/>
      <c r="F20" s="179"/>
      <c r="G20" s="178" t="s">
        <v>39</v>
      </c>
      <c r="H20" s="179"/>
      <c r="I20" s="179"/>
      <c r="J20" s="180" t="s">
        <v>4</v>
      </c>
      <c r="K20" s="181"/>
      <c r="L20" s="181"/>
      <c r="M20" s="172" t="s">
        <v>46</v>
      </c>
      <c r="N20" s="172" t="s">
        <v>47</v>
      </c>
    </row>
    <row r="21" spans="1:14" s="20" customFormat="1" ht="12.75">
      <c r="A21" s="186"/>
      <c r="B21" s="48" t="s">
        <v>27</v>
      </c>
      <c r="C21" s="48" t="s">
        <v>29</v>
      </c>
      <c r="D21" s="21" t="s">
        <v>27</v>
      </c>
      <c r="E21" s="21" t="s">
        <v>29</v>
      </c>
      <c r="F21" s="21" t="s">
        <v>5</v>
      </c>
      <c r="G21" s="21" t="s">
        <v>27</v>
      </c>
      <c r="H21" s="21" t="s">
        <v>29</v>
      </c>
      <c r="I21" s="21" t="s">
        <v>5</v>
      </c>
      <c r="J21" s="21" t="s">
        <v>27</v>
      </c>
      <c r="K21" s="21" t="s">
        <v>29</v>
      </c>
      <c r="L21" s="22" t="s">
        <v>45</v>
      </c>
      <c r="M21" s="173"/>
      <c r="N21" s="173"/>
    </row>
    <row r="22" spans="1:16" ht="12.75">
      <c r="A22" s="23" t="s">
        <v>6</v>
      </c>
      <c r="B22" s="30"/>
      <c r="C22" s="30"/>
      <c r="D22" s="25">
        <f>SUM(янв:дек!D22)</f>
        <v>772.1000000000001</v>
      </c>
      <c r="E22" s="25">
        <f>SUM(янв:дек!E22)</f>
        <v>2957.68</v>
      </c>
      <c r="F22" s="25">
        <f>D22+E22</f>
        <v>3729.7799999999997</v>
      </c>
      <c r="G22" s="54">
        <f>SUM(янв:дек!G22)</f>
        <v>691.767</v>
      </c>
      <c r="H22" s="54">
        <f>SUM(янв:дек!H22)</f>
        <v>3003.5969999999993</v>
      </c>
      <c r="I22" s="26">
        <f>G22+H22</f>
        <v>3695.3639999999996</v>
      </c>
      <c r="J22" s="27">
        <f>IF(G22&gt;0,G22/D22,0)</f>
        <v>0.8959551871519232</v>
      </c>
      <c r="K22" s="27">
        <f>IF(H22&gt;0,H22/E22,0)</f>
        <v>1.0155246679830134</v>
      </c>
      <c r="L22" s="28">
        <f>IF(I22&gt;0,I22/F22,0)</f>
        <v>0.9907726461078132</v>
      </c>
      <c r="M22" s="55">
        <f>SUM(янв:дек!M22)</f>
        <v>1294224.8099999998</v>
      </c>
      <c r="N22" s="29">
        <f>IF(I22&gt;0,M22/I22,0)</f>
        <v>350.2293170578054</v>
      </c>
      <c r="P22" s="116"/>
    </row>
    <row r="23" spans="1:16" ht="12.75">
      <c r="A23" s="23" t="s">
        <v>7</v>
      </c>
      <c r="B23" s="30"/>
      <c r="C23" s="30"/>
      <c r="D23" s="25">
        <f>SUM(янв:дек!D23)</f>
        <v>308.84000000000003</v>
      </c>
      <c r="E23" s="25">
        <f>SUM(янв:дек!E23)</f>
        <v>1290.624</v>
      </c>
      <c r="F23" s="25">
        <f aca="true" t="shared" si="0" ref="F23:F43">D23+E23</f>
        <v>1599.464</v>
      </c>
      <c r="G23" s="54">
        <f>SUM(янв:дек!G23)</f>
        <v>283.697</v>
      </c>
      <c r="H23" s="54">
        <f>SUM(янв:дек!H23)</f>
        <v>1149.7659999999998</v>
      </c>
      <c r="I23" s="26">
        <f aca="true" t="shared" si="1" ref="I23:I43">G23+H23</f>
        <v>1433.4629999999997</v>
      </c>
      <c r="J23" s="27">
        <f aca="true" t="shared" si="2" ref="J23:L44">IF(D23&gt;0,G23/D23,0)</f>
        <v>0.9185889133531925</v>
      </c>
      <c r="K23" s="27">
        <f t="shared" si="2"/>
        <v>0.8908605449766933</v>
      </c>
      <c r="L23" s="28">
        <f t="shared" si="2"/>
        <v>0.8962146068933091</v>
      </c>
      <c r="M23" s="55">
        <f>SUM(янв:дек!M23)</f>
        <v>387545.29000000004</v>
      </c>
      <c r="N23" s="29">
        <f aca="true" t="shared" si="3" ref="N23:N43">IF(I23&gt;0,M23/I23,0)</f>
        <v>270.355977098816</v>
      </c>
      <c r="P23" s="116"/>
    </row>
    <row r="24" spans="1:16" ht="12.75">
      <c r="A24" s="23" t="s">
        <v>97</v>
      </c>
      <c r="B24" s="30"/>
      <c r="C24" s="30"/>
      <c r="D24" s="25">
        <f>SUM(янв:дек!D24)</f>
        <v>308.84000000000003</v>
      </c>
      <c r="E24" s="25">
        <f>SUM(янв:дек!E24)</f>
        <v>1344.4</v>
      </c>
      <c r="F24" s="25">
        <f>D24+E24</f>
        <v>1653.2400000000002</v>
      </c>
      <c r="G24" s="54">
        <f>SUM(янв:дек!G24)</f>
        <v>274.737</v>
      </c>
      <c r="H24" s="54">
        <f>SUM(янв:дек!H24)</f>
        <v>1180.831</v>
      </c>
      <c r="I24" s="26">
        <f>G24+H24</f>
        <v>1455.568</v>
      </c>
      <c r="J24" s="27">
        <f>IF(D24&gt;0,G24/D24,0)</f>
        <v>0.8895771273151146</v>
      </c>
      <c r="K24" s="27">
        <f>IF(E24&gt;0,H24/E24,0)</f>
        <v>0.8783330853912524</v>
      </c>
      <c r="L24" s="28">
        <f>IF(F24&gt;0,I24/F24,0)</f>
        <v>0.8804335728629841</v>
      </c>
      <c r="M24" s="55">
        <f>SUM(янв:дек!M24)</f>
        <v>405700.61</v>
      </c>
      <c r="N24" s="29">
        <f>IF(I24&gt;0,M24/I24,0)</f>
        <v>278.72322694645663</v>
      </c>
      <c r="P24" s="116"/>
    </row>
    <row r="25" spans="1:16" ht="12.75">
      <c r="A25" s="31" t="s">
        <v>8</v>
      </c>
      <c r="B25" s="30"/>
      <c r="C25" s="30"/>
      <c r="D25" s="25">
        <f>SUM(янв:дек!D25)</f>
        <v>494.14400000000006</v>
      </c>
      <c r="E25" s="25">
        <f>SUM(янв:дек!E25)</f>
        <v>1989.7119999999998</v>
      </c>
      <c r="F25" s="25">
        <f t="shared" si="0"/>
        <v>2483.8559999999998</v>
      </c>
      <c r="G25" s="54">
        <f>SUM(янв:дек!G25)</f>
        <v>435.75100000000003</v>
      </c>
      <c r="H25" s="54">
        <f>SUM(янв:дек!H25)</f>
        <v>1742.9860000000003</v>
      </c>
      <c r="I25" s="26">
        <f t="shared" si="1"/>
        <v>2178.7370000000005</v>
      </c>
      <c r="J25" s="27">
        <f t="shared" si="2"/>
        <v>0.8818299928765704</v>
      </c>
      <c r="K25" s="27">
        <f t="shared" si="2"/>
        <v>0.8759991395739688</v>
      </c>
      <c r="L25" s="28">
        <f t="shared" si="2"/>
        <v>0.8771591428810691</v>
      </c>
      <c r="M25" s="55">
        <f>SUM(янв:дек!M25)</f>
        <v>557148.78</v>
      </c>
      <c r="N25" s="29">
        <f t="shared" si="3"/>
        <v>255.72098881140766</v>
      </c>
      <c r="P25" s="116"/>
    </row>
    <row r="26" spans="1:16" ht="12.75">
      <c r="A26" s="31" t="s">
        <v>35</v>
      </c>
      <c r="B26" s="30"/>
      <c r="C26" s="30"/>
      <c r="D26" s="25">
        <f>SUM(янв:дек!D26)</f>
        <v>277.956</v>
      </c>
      <c r="E26" s="25">
        <f>SUM(янв:дек!E26)</f>
        <v>1129.2959999999998</v>
      </c>
      <c r="F26" s="25">
        <f t="shared" si="0"/>
        <v>1407.252</v>
      </c>
      <c r="G26" s="54">
        <f>SUM(янв:дек!G26)</f>
        <v>285.774</v>
      </c>
      <c r="H26" s="54">
        <f>SUM(янв:дек!H26)</f>
        <v>1123.291</v>
      </c>
      <c r="I26" s="26">
        <f t="shared" si="1"/>
        <v>1409.065</v>
      </c>
      <c r="J26" s="27">
        <f t="shared" si="2"/>
        <v>1.0281267538747139</v>
      </c>
      <c r="K26" s="27">
        <f t="shared" si="2"/>
        <v>0.994682527875774</v>
      </c>
      <c r="L26" s="28">
        <f t="shared" si="2"/>
        <v>1.0012883264688912</v>
      </c>
      <c r="M26" s="55">
        <f>SUM(янв:дек!M26)</f>
        <v>923649.4299999999</v>
      </c>
      <c r="N26" s="29">
        <f t="shared" si="3"/>
        <v>655.5051967084555</v>
      </c>
      <c r="P26" s="116"/>
    </row>
    <row r="27" spans="1:16" ht="12.75">
      <c r="A27" s="31" t="s">
        <v>36</v>
      </c>
      <c r="B27" s="30"/>
      <c r="C27" s="30"/>
      <c r="D27" s="25">
        <f>SUM(янв:дек!D27)</f>
        <v>138.978</v>
      </c>
      <c r="E27" s="25">
        <f>SUM(янв:дек!E27)</f>
        <v>591.5360000000001</v>
      </c>
      <c r="F27" s="25">
        <f t="shared" si="0"/>
        <v>730.5140000000001</v>
      </c>
      <c r="G27" s="54">
        <f>SUM(янв:дек!G27)</f>
        <v>126.805</v>
      </c>
      <c r="H27" s="54">
        <f>SUM(янв:дек!H27)</f>
        <v>611.668</v>
      </c>
      <c r="I27" s="26">
        <f t="shared" si="1"/>
        <v>738.473</v>
      </c>
      <c r="J27" s="27">
        <f t="shared" si="2"/>
        <v>0.9124105973607334</v>
      </c>
      <c r="K27" s="27">
        <f t="shared" si="2"/>
        <v>1.034033431608558</v>
      </c>
      <c r="L27" s="28">
        <f t="shared" si="2"/>
        <v>1.0108950684038907</v>
      </c>
      <c r="M27" s="55">
        <f>SUM(янв:дек!M27)</f>
        <v>84378.76000000001</v>
      </c>
      <c r="N27" s="29">
        <f t="shared" si="3"/>
        <v>114.26113073870002</v>
      </c>
      <c r="P27" s="116"/>
    </row>
    <row r="28" spans="1:16" ht="12.75">
      <c r="A28" s="32" t="s">
        <v>9</v>
      </c>
      <c r="B28" s="30"/>
      <c r="C28" s="30"/>
      <c r="D28" s="25">
        <f>SUM(янв:дек!D28)</f>
        <v>6022.38</v>
      </c>
      <c r="E28" s="25">
        <f>SUM(янв:дек!E28)</f>
        <v>24199.2</v>
      </c>
      <c r="F28" s="25">
        <f t="shared" si="0"/>
        <v>30221.58</v>
      </c>
      <c r="G28" s="54">
        <f>SUM(янв:дек!G28)</f>
        <v>5592.572</v>
      </c>
      <c r="H28" s="54">
        <f>SUM(янв:дек!H28)</f>
        <v>22192.739999999998</v>
      </c>
      <c r="I28" s="26">
        <f t="shared" si="1"/>
        <v>27785.311999999998</v>
      </c>
      <c r="J28" s="27">
        <f t="shared" si="2"/>
        <v>0.9286315376977209</v>
      </c>
      <c r="K28" s="27">
        <f t="shared" si="2"/>
        <v>0.9170856887831002</v>
      </c>
      <c r="L28" s="28">
        <f t="shared" si="2"/>
        <v>0.9193864781391309</v>
      </c>
      <c r="M28" s="55">
        <f>SUM(янв:дек!M28)</f>
        <v>1758462.28</v>
      </c>
      <c r="N28" s="29">
        <f t="shared" si="3"/>
        <v>63.28747649117635</v>
      </c>
      <c r="P28" s="116"/>
    </row>
    <row r="29" spans="1:16" ht="12.75">
      <c r="A29" s="31" t="s">
        <v>10</v>
      </c>
      <c r="B29" s="30"/>
      <c r="C29" s="30"/>
      <c r="D29" s="25">
        <f>SUM(янв:дек!D29)</f>
        <v>463.25999999999993</v>
      </c>
      <c r="E29" s="25">
        <f>SUM(янв:дек!E29)</f>
        <v>2151.04</v>
      </c>
      <c r="F29" s="25">
        <f t="shared" si="0"/>
        <v>2614.2999999999997</v>
      </c>
      <c r="G29" s="54">
        <f>SUM(янв:дек!G29)</f>
        <v>428.12899999999996</v>
      </c>
      <c r="H29" s="54">
        <f>SUM(янв:дек!H29)</f>
        <v>1895.92</v>
      </c>
      <c r="I29" s="26">
        <f t="shared" si="1"/>
        <v>2324.049</v>
      </c>
      <c r="J29" s="27">
        <f t="shared" si="2"/>
        <v>0.924165695289902</v>
      </c>
      <c r="K29" s="27">
        <f t="shared" si="2"/>
        <v>0.8813969056828326</v>
      </c>
      <c r="L29" s="28">
        <f t="shared" si="2"/>
        <v>0.888975634012929</v>
      </c>
      <c r="M29" s="55">
        <f>SUM(янв:дек!M29)</f>
        <v>778615.2</v>
      </c>
      <c r="N29" s="29">
        <f t="shared" si="3"/>
        <v>335.02529421711847</v>
      </c>
      <c r="P29" s="116"/>
    </row>
    <row r="30" spans="1:16" ht="12.75">
      <c r="A30" s="31" t="s">
        <v>11</v>
      </c>
      <c r="B30" s="30"/>
      <c r="C30" s="30"/>
      <c r="D30" s="25">
        <f>SUM(янв:дек!D30)</f>
        <v>138.978</v>
      </c>
      <c r="E30" s="25">
        <f>SUM(янв:дек!E30)</f>
        <v>591.5360000000001</v>
      </c>
      <c r="F30" s="25">
        <f t="shared" si="0"/>
        <v>730.5140000000001</v>
      </c>
      <c r="G30" s="54">
        <f>SUM(янв:дек!G30)</f>
        <v>128.958</v>
      </c>
      <c r="H30" s="54">
        <f>SUM(янв:дек!H30)</f>
        <v>551.778</v>
      </c>
      <c r="I30" s="26">
        <f t="shared" si="1"/>
        <v>680.736</v>
      </c>
      <c r="J30" s="27">
        <f t="shared" si="2"/>
        <v>0.9279022579113241</v>
      </c>
      <c r="K30" s="27">
        <f t="shared" si="2"/>
        <v>0.9327885369614021</v>
      </c>
      <c r="L30" s="28">
        <f t="shared" si="2"/>
        <v>0.9318589376794967</v>
      </c>
      <c r="M30" s="55">
        <f>SUM(янв:дек!M30)</f>
        <v>121851.68000000001</v>
      </c>
      <c r="N30" s="29">
        <f t="shared" si="3"/>
        <v>178.99990598411134</v>
      </c>
      <c r="P30" s="116"/>
    </row>
    <row r="31" spans="1:16" ht="12.75">
      <c r="A31" s="31" t="s">
        <v>12</v>
      </c>
      <c r="B31" s="30"/>
      <c r="C31" s="30"/>
      <c r="D31" s="25">
        <f>SUM(янв:дек!D31)</f>
        <v>61.76800000000001</v>
      </c>
      <c r="E31" s="25">
        <f>SUM(янв:дек!E31)</f>
        <v>322.656</v>
      </c>
      <c r="F31" s="25">
        <f t="shared" si="0"/>
        <v>384.42400000000004</v>
      </c>
      <c r="G31" s="54">
        <f>SUM(янв:дек!G31)</f>
        <v>62.6</v>
      </c>
      <c r="H31" s="54">
        <f>SUM(янв:дек!H31)</f>
        <v>285.125</v>
      </c>
      <c r="I31" s="26">
        <f t="shared" si="1"/>
        <v>347.725</v>
      </c>
      <c r="J31" s="27">
        <f t="shared" si="2"/>
        <v>1.0134697578033933</v>
      </c>
      <c r="K31" s="27">
        <f t="shared" si="2"/>
        <v>0.8836810721015571</v>
      </c>
      <c r="L31" s="28">
        <f t="shared" si="2"/>
        <v>0.9045350966641</v>
      </c>
      <c r="M31" s="55">
        <f>SUM(янв:дек!M31)</f>
        <v>132627.32</v>
      </c>
      <c r="N31" s="29">
        <f t="shared" si="3"/>
        <v>381.4143935581278</v>
      </c>
      <c r="P31" s="116"/>
    </row>
    <row r="32" spans="1:16" ht="12.75">
      <c r="A32" s="31" t="s">
        <v>13</v>
      </c>
      <c r="B32" s="30"/>
      <c r="C32" s="30"/>
      <c r="D32" s="25">
        <f>SUM(янв:дек!D32)</f>
        <v>15442</v>
      </c>
      <c r="E32" s="25">
        <f>SUM(янв:дек!E32)</f>
        <v>53776</v>
      </c>
      <c r="F32" s="25">
        <f t="shared" si="0"/>
        <v>69218</v>
      </c>
      <c r="G32" s="54">
        <f>SUM(янв:дек!G32)</f>
        <v>13987.199999999999</v>
      </c>
      <c r="H32" s="54">
        <f>SUM(янв:дек!H32)</f>
        <v>49742.60000000001</v>
      </c>
      <c r="I32" s="26">
        <f t="shared" si="1"/>
        <v>63729.80000000001</v>
      </c>
      <c r="J32" s="27">
        <f t="shared" si="2"/>
        <v>0.9057894055174199</v>
      </c>
      <c r="K32" s="27">
        <f t="shared" si="2"/>
        <v>0.9249962808687893</v>
      </c>
      <c r="L32" s="28">
        <f t="shared" si="2"/>
        <v>0.9207113756537318</v>
      </c>
      <c r="M32" s="55">
        <f>SUM(янв:дек!M32)</f>
        <v>431506.6699999999</v>
      </c>
      <c r="N32" s="29">
        <f t="shared" si="3"/>
        <v>6.7708775172682145</v>
      </c>
      <c r="P32" s="116"/>
    </row>
    <row r="33" spans="1:16" ht="12.75">
      <c r="A33" s="31" t="s">
        <v>14</v>
      </c>
      <c r="B33" s="30"/>
      <c r="C33" s="30"/>
      <c r="D33" s="25">
        <f>SUM(янв:дек!D33)</f>
        <v>386.05000000000007</v>
      </c>
      <c r="E33" s="25">
        <f>SUM(янв:дек!E33)</f>
        <v>1559.5040000000001</v>
      </c>
      <c r="F33" s="25">
        <f t="shared" si="0"/>
        <v>1945.554</v>
      </c>
      <c r="G33" s="54">
        <f>SUM(янв:дек!G33)</f>
        <v>344.579</v>
      </c>
      <c r="H33" s="54">
        <f>SUM(янв:дек!H33)</f>
        <v>1442.1410000000003</v>
      </c>
      <c r="I33" s="26">
        <f t="shared" si="1"/>
        <v>1786.7200000000003</v>
      </c>
      <c r="J33" s="27">
        <f t="shared" si="2"/>
        <v>0.8925760911798989</v>
      </c>
      <c r="K33" s="27">
        <f t="shared" si="2"/>
        <v>0.9247433799464446</v>
      </c>
      <c r="L33" s="28">
        <f t="shared" si="2"/>
        <v>0.918360528672039</v>
      </c>
      <c r="M33" s="55">
        <f>SUM(янв:дек!M33)</f>
        <v>46344.33</v>
      </c>
      <c r="N33" s="29">
        <f t="shared" si="3"/>
        <v>25.938216396525473</v>
      </c>
      <c r="P33" s="116"/>
    </row>
    <row r="34" spans="1:16" ht="12.75">
      <c r="A34" s="31" t="s">
        <v>15</v>
      </c>
      <c r="B34" s="30"/>
      <c r="C34" s="30"/>
      <c r="D34" s="25">
        <f>SUM(янв:дек!D34)</f>
        <v>463.25999999999993</v>
      </c>
      <c r="E34" s="25">
        <f>SUM(янв:дек!E34)</f>
        <v>2312.368</v>
      </c>
      <c r="F34" s="25">
        <f t="shared" si="0"/>
        <v>2775.6279999999997</v>
      </c>
      <c r="G34" s="54">
        <f>SUM(янв:дек!G34)</f>
        <v>521.744</v>
      </c>
      <c r="H34" s="54">
        <f>SUM(янв:дек!H34)</f>
        <v>2269.4860000000003</v>
      </c>
      <c r="I34" s="26">
        <f t="shared" si="1"/>
        <v>2791.2300000000005</v>
      </c>
      <c r="J34" s="27">
        <f t="shared" si="2"/>
        <v>1.1262444415662913</v>
      </c>
      <c r="K34" s="27">
        <f t="shared" si="2"/>
        <v>0.9814553738851257</v>
      </c>
      <c r="L34" s="28">
        <f t="shared" si="2"/>
        <v>1.005621070258695</v>
      </c>
      <c r="M34" s="55">
        <f>SUM(янв:дек!M34)</f>
        <v>143265.16</v>
      </c>
      <c r="N34" s="29">
        <f t="shared" si="3"/>
        <v>51.32689172873607</v>
      </c>
      <c r="P34" s="116"/>
    </row>
    <row r="35" spans="1:16" ht="12.75">
      <c r="A35" s="31" t="s">
        <v>16</v>
      </c>
      <c r="B35" s="30"/>
      <c r="C35" s="30"/>
      <c r="D35" s="25">
        <f>SUM(янв:дек!D35)</f>
        <v>123.53600000000002</v>
      </c>
      <c r="E35" s="25">
        <f>SUM(янв:дек!E35)</f>
        <v>645.312</v>
      </c>
      <c r="F35" s="25">
        <f t="shared" si="0"/>
        <v>768.8480000000001</v>
      </c>
      <c r="G35" s="54">
        <f>SUM(янв:дек!G35)</f>
        <v>139.56300000000002</v>
      </c>
      <c r="H35" s="54">
        <f>SUM(янв:дек!H35)</f>
        <v>573.974</v>
      </c>
      <c r="I35" s="26">
        <f t="shared" si="1"/>
        <v>713.537</v>
      </c>
      <c r="J35" s="27">
        <f t="shared" si="2"/>
        <v>1.1297354617277555</v>
      </c>
      <c r="K35" s="27">
        <f t="shared" si="2"/>
        <v>0.8894519240305465</v>
      </c>
      <c r="L35" s="28">
        <f t="shared" si="2"/>
        <v>0.9280599026075375</v>
      </c>
      <c r="M35" s="55">
        <f>SUM(янв:дек!M35)</f>
        <v>29607.18</v>
      </c>
      <c r="N35" s="29">
        <f t="shared" si="3"/>
        <v>41.49354553442919</v>
      </c>
      <c r="P35" s="116"/>
    </row>
    <row r="36" spans="1:16" ht="12.75">
      <c r="A36" s="31" t="s">
        <v>17</v>
      </c>
      <c r="B36" s="30"/>
      <c r="C36" s="30"/>
      <c r="D36" s="25">
        <f>SUM(янв:дек!D36)</f>
        <v>386.05000000000007</v>
      </c>
      <c r="E36" s="25">
        <f>SUM(янв:дек!E36)</f>
        <v>1613.2799999999997</v>
      </c>
      <c r="F36" s="25">
        <f t="shared" si="0"/>
        <v>1999.33</v>
      </c>
      <c r="G36" s="54">
        <f>SUM(янв:дек!G36)</f>
        <v>337.85999999999996</v>
      </c>
      <c r="H36" s="54">
        <f>SUM(янв:дек!H36)</f>
        <v>1511.2060000000001</v>
      </c>
      <c r="I36" s="26">
        <f t="shared" si="1"/>
        <v>1849.066</v>
      </c>
      <c r="J36" s="27">
        <f t="shared" si="2"/>
        <v>0.875171609895091</v>
      </c>
      <c r="K36" s="27">
        <f t="shared" si="2"/>
        <v>0.9367289001289301</v>
      </c>
      <c r="L36" s="28">
        <f t="shared" si="2"/>
        <v>0.9248428223454858</v>
      </c>
      <c r="M36" s="55">
        <f>SUM(янв:дек!M36)</f>
        <v>127886.87</v>
      </c>
      <c r="N36" s="29">
        <f t="shared" si="3"/>
        <v>69.16295578416346</v>
      </c>
      <c r="P36" s="116"/>
    </row>
    <row r="37" spans="1:16" ht="12.75">
      <c r="A37" s="31" t="s">
        <v>18</v>
      </c>
      <c r="B37" s="30"/>
      <c r="C37" s="30"/>
      <c r="D37" s="25">
        <f>SUM(янв:дек!D37)</f>
        <v>185.30400000000003</v>
      </c>
      <c r="E37" s="25">
        <f>SUM(янв:дек!E37)</f>
        <v>1075.52</v>
      </c>
      <c r="F37" s="25">
        <f t="shared" si="0"/>
        <v>1260.824</v>
      </c>
      <c r="G37" s="54">
        <f>SUM(янв:дек!G37)</f>
        <v>130.82999999999998</v>
      </c>
      <c r="H37" s="54">
        <f>SUM(янв:дек!H37)</f>
        <v>545.482</v>
      </c>
      <c r="I37" s="26">
        <f t="shared" si="1"/>
        <v>676.3119999999999</v>
      </c>
      <c r="J37" s="27">
        <f t="shared" si="2"/>
        <v>0.7060290117860378</v>
      </c>
      <c r="K37" s="27">
        <f t="shared" si="2"/>
        <v>0.5071797828027372</v>
      </c>
      <c r="L37" s="28">
        <f t="shared" si="2"/>
        <v>0.536404763868708</v>
      </c>
      <c r="M37" s="55">
        <f>SUM(янв:дек!M37)</f>
        <v>75752.29000000001</v>
      </c>
      <c r="N37" s="29">
        <f t="shared" si="3"/>
        <v>112.00790463573028</v>
      </c>
      <c r="P37" s="116"/>
    </row>
    <row r="38" spans="1:16" ht="12.75">
      <c r="A38" s="31" t="s">
        <v>19</v>
      </c>
      <c r="B38" s="30"/>
      <c r="C38" s="30"/>
      <c r="D38" s="25">
        <f>SUM(янв:дек!D38)</f>
        <v>138.978</v>
      </c>
      <c r="E38" s="25">
        <f>SUM(янв:дек!E38)</f>
        <v>591.5360000000001</v>
      </c>
      <c r="F38" s="25">
        <f t="shared" si="0"/>
        <v>730.5140000000001</v>
      </c>
      <c r="G38" s="54">
        <f>SUM(янв:дек!G38)</f>
        <v>127.935</v>
      </c>
      <c r="H38" s="54">
        <f>SUM(янв:дек!H38)</f>
        <v>563.531</v>
      </c>
      <c r="I38" s="26">
        <f t="shared" si="1"/>
        <v>691.4659999999999</v>
      </c>
      <c r="J38" s="27">
        <f t="shared" si="2"/>
        <v>0.9205413806501748</v>
      </c>
      <c r="K38" s="27">
        <f t="shared" si="2"/>
        <v>0.9526571501988043</v>
      </c>
      <c r="L38" s="28">
        <f t="shared" si="2"/>
        <v>0.9465472256520748</v>
      </c>
      <c r="M38" s="55">
        <f>SUM(янв:дек!M38)</f>
        <v>86895.47</v>
      </c>
      <c r="N38" s="29">
        <f t="shared" si="3"/>
        <v>125.66846381456213</v>
      </c>
      <c r="P38" s="116"/>
    </row>
    <row r="39" spans="1:16" ht="12.75">
      <c r="A39" s="31" t="s">
        <v>20</v>
      </c>
      <c r="B39" s="30"/>
      <c r="C39" s="30"/>
      <c r="D39" s="25">
        <f>SUM(янв:дек!D39)</f>
        <v>1466.99</v>
      </c>
      <c r="E39" s="25">
        <f>SUM(янв:дек!E39)</f>
        <v>5377.6</v>
      </c>
      <c r="F39" s="25">
        <f t="shared" si="0"/>
        <v>6844.59</v>
      </c>
      <c r="G39" s="54">
        <f>SUM(янв:дек!G39)</f>
        <v>1486.805</v>
      </c>
      <c r="H39" s="54">
        <f>SUM(янв:дек!H39)</f>
        <v>5348.8150000000005</v>
      </c>
      <c r="I39" s="26">
        <f t="shared" si="1"/>
        <v>6835.620000000001</v>
      </c>
      <c r="J39" s="27">
        <f t="shared" si="2"/>
        <v>1.01350724953817</v>
      </c>
      <c r="K39" s="27">
        <f t="shared" si="2"/>
        <v>0.9946472404046415</v>
      </c>
      <c r="L39" s="28">
        <f t="shared" si="2"/>
        <v>0.9986894759218595</v>
      </c>
      <c r="M39" s="55">
        <f>SUM(янв:дек!M39)</f>
        <v>674755.6499999999</v>
      </c>
      <c r="N39" s="29">
        <f t="shared" si="3"/>
        <v>98.71169696384524</v>
      </c>
      <c r="P39" s="116"/>
    </row>
    <row r="40" spans="1:16" ht="12.75">
      <c r="A40" s="31" t="s">
        <v>21</v>
      </c>
      <c r="B40" s="30"/>
      <c r="C40" s="30"/>
      <c r="D40" s="25">
        <f>SUM(янв:дек!D40)</f>
        <v>1544.2000000000003</v>
      </c>
      <c r="E40" s="25">
        <f>SUM(янв:дек!E40)</f>
        <v>5377.6</v>
      </c>
      <c r="F40" s="25">
        <f t="shared" si="0"/>
        <v>6921.800000000001</v>
      </c>
      <c r="G40" s="54">
        <f>SUM(янв:дек!G40)</f>
        <v>1298.6000000000001</v>
      </c>
      <c r="H40" s="54">
        <f>SUM(янв:дек!H40)</f>
        <v>5166.200000000001</v>
      </c>
      <c r="I40" s="26">
        <f t="shared" si="1"/>
        <v>6464.800000000001</v>
      </c>
      <c r="J40" s="27">
        <f t="shared" si="2"/>
        <v>0.8409532443983939</v>
      </c>
      <c r="K40" s="27">
        <f t="shared" si="2"/>
        <v>0.9606887831002678</v>
      </c>
      <c r="L40" s="28">
        <f t="shared" si="2"/>
        <v>0.9339767112600769</v>
      </c>
      <c r="M40" s="55">
        <f>SUM(янв:дек!M40)</f>
        <v>336588.00999999995</v>
      </c>
      <c r="N40" s="29">
        <f t="shared" si="3"/>
        <v>52.06472125974506</v>
      </c>
      <c r="P40" s="116"/>
    </row>
    <row r="41" spans="1:16" ht="12.75">
      <c r="A41" s="31" t="s">
        <v>22</v>
      </c>
      <c r="B41" s="30"/>
      <c r="C41" s="30"/>
      <c r="D41" s="25">
        <f>SUM(янв:дек!D41)</f>
        <v>1853.0399999999997</v>
      </c>
      <c r="E41" s="25">
        <f>SUM(янв:дек!E41)</f>
        <v>7528.640000000001</v>
      </c>
      <c r="F41" s="25">
        <f t="shared" si="0"/>
        <v>9381.68</v>
      </c>
      <c r="G41" s="54">
        <f>SUM(янв:дек!G41)</f>
        <v>1653.254</v>
      </c>
      <c r="H41" s="54">
        <f>SUM(янв:дек!H41)</f>
        <v>7115.039999999999</v>
      </c>
      <c r="I41" s="26">
        <f t="shared" si="1"/>
        <v>8768.293999999998</v>
      </c>
      <c r="J41" s="27">
        <f t="shared" si="2"/>
        <v>0.8921847342744895</v>
      </c>
      <c r="K41" s="27">
        <f t="shared" si="2"/>
        <v>0.9450631189696941</v>
      </c>
      <c r="L41" s="28">
        <f t="shared" si="2"/>
        <v>0.93461874632262</v>
      </c>
      <c r="M41" s="55">
        <f>SUM(янв:дек!M41)</f>
        <v>284246.47000000003</v>
      </c>
      <c r="N41" s="29">
        <f t="shared" si="3"/>
        <v>32.41753412921602</v>
      </c>
      <c r="P41" s="116"/>
    </row>
    <row r="42" spans="1:16" ht="12.75">
      <c r="A42" s="31" t="s">
        <v>23</v>
      </c>
      <c r="B42" s="30"/>
      <c r="C42" s="30"/>
      <c r="D42" s="25">
        <f>SUM(янв:дек!D42)</f>
        <v>2779.56</v>
      </c>
      <c r="E42" s="25">
        <f>SUM(янв:дек!E42)</f>
        <v>11830.72</v>
      </c>
      <c r="F42" s="25">
        <f t="shared" si="0"/>
        <v>14610.279999999999</v>
      </c>
      <c r="G42" s="54">
        <f>SUM(янв:дек!G42)</f>
        <v>2444.508</v>
      </c>
      <c r="H42" s="54">
        <f>SUM(янв:дек!H42)</f>
        <v>10914.04</v>
      </c>
      <c r="I42" s="26">
        <f t="shared" si="1"/>
        <v>13358.548</v>
      </c>
      <c r="J42" s="27">
        <f t="shared" si="2"/>
        <v>0.879458619349825</v>
      </c>
      <c r="K42" s="27">
        <f t="shared" si="2"/>
        <v>0.9225169727624355</v>
      </c>
      <c r="L42" s="28">
        <f t="shared" si="2"/>
        <v>0.9143252559156978</v>
      </c>
      <c r="M42" s="55">
        <f>SUM(янв:дек!M42)</f>
        <v>657291.37</v>
      </c>
      <c r="N42" s="29">
        <f t="shared" si="3"/>
        <v>49.203803437319685</v>
      </c>
      <c r="P42" s="116"/>
    </row>
    <row r="43" spans="1:16" ht="12.75">
      <c r="A43" s="31" t="s">
        <v>24</v>
      </c>
      <c r="B43" s="30"/>
      <c r="C43" s="30"/>
      <c r="D43" s="25">
        <f>SUM(янв:дек!D43)</f>
        <v>617.6800000000001</v>
      </c>
      <c r="E43" s="25">
        <f>SUM(янв:дек!E43)</f>
        <v>2688.8</v>
      </c>
      <c r="F43" s="25">
        <f t="shared" si="0"/>
        <v>3306.4800000000005</v>
      </c>
      <c r="G43" s="54">
        <f>SUM(янв:дек!G43)</f>
        <v>616.661</v>
      </c>
      <c r="H43" s="54">
        <f>SUM(янв:дек!H43)</f>
        <v>2432.862</v>
      </c>
      <c r="I43" s="26">
        <f t="shared" si="1"/>
        <v>3049.523</v>
      </c>
      <c r="J43" s="27">
        <f t="shared" si="2"/>
        <v>0.9983502784613391</v>
      </c>
      <c r="K43" s="27">
        <f t="shared" si="2"/>
        <v>0.9048132996132103</v>
      </c>
      <c r="L43" s="28">
        <f t="shared" si="2"/>
        <v>0.9222868428056422</v>
      </c>
      <c r="M43" s="55">
        <f>SUM(янв:дек!M43)</f>
        <v>158781.53000000003</v>
      </c>
      <c r="N43" s="29">
        <f t="shared" si="3"/>
        <v>52.06766107355151</v>
      </c>
      <c r="P43" s="116"/>
    </row>
    <row r="44" spans="1:16" ht="12.75">
      <c r="A44" s="32" t="s">
        <v>25</v>
      </c>
      <c r="B44" s="30"/>
      <c r="C44" s="30"/>
      <c r="D44" s="25">
        <f>SUM(янв:дек!D44)</f>
        <v>926.5199999999999</v>
      </c>
      <c r="E44" s="25">
        <f>SUM(янв:дек!E44)</f>
        <v>4302.08</v>
      </c>
      <c r="F44" s="25">
        <f>D44+E44</f>
        <v>5228.599999999999</v>
      </c>
      <c r="G44" s="54">
        <f>SUM(янв:дек!G44)</f>
        <v>857.3439999999999</v>
      </c>
      <c r="H44" s="54">
        <f>SUM(янв:дек!H44)</f>
        <v>3602.8260000000005</v>
      </c>
      <c r="I44" s="26">
        <f>G44+H44</f>
        <v>4460.17</v>
      </c>
      <c r="J44" s="27">
        <f t="shared" si="2"/>
        <v>0.9253378232526012</v>
      </c>
      <c r="K44" s="27">
        <f t="shared" si="2"/>
        <v>0.8374614140136866</v>
      </c>
      <c r="L44" s="28">
        <f t="shared" si="2"/>
        <v>0.853033316757832</v>
      </c>
      <c r="M44" s="55">
        <f>SUM(янв:дек!M44)</f>
        <v>298687.02999999997</v>
      </c>
      <c r="N44" s="29">
        <f>IF(I44&gt;0,M44/I44,0)</f>
        <v>66.96763352069539</v>
      </c>
      <c r="P44" s="116"/>
    </row>
    <row r="45" spans="1:14" s="20" customFormat="1" ht="12.75">
      <c r="A45" s="44" t="s">
        <v>54</v>
      </c>
      <c r="B45" s="45"/>
      <c r="C45" s="45"/>
      <c r="D45" s="46">
        <f>SUM(D22:D44)</f>
        <v>35300.412</v>
      </c>
      <c r="E45" s="46">
        <f>SUM(E22:E44)</f>
        <v>135246.64</v>
      </c>
      <c r="F45" s="46">
        <f>D45+E45</f>
        <v>170547.05200000003</v>
      </c>
      <c r="G45" s="56">
        <f>'9 мес'!G45+'4 кв'!G45</f>
        <v>32257.672999999995</v>
      </c>
      <c r="H45" s="56">
        <f>'9 мес'!H45+'4 кв'!H45</f>
        <v>124965.905</v>
      </c>
      <c r="I45" s="47">
        <f>G45+H45</f>
        <v>157223.57799999998</v>
      </c>
      <c r="J45" s="59">
        <f>IF(G45&gt;0,G45/D45,0)</f>
        <v>0.9138044337839456</v>
      </c>
      <c r="K45" s="59">
        <f>IF(E45&gt;0,H45/E45,0)</f>
        <v>0.9239852834791311</v>
      </c>
      <c r="L45" s="59">
        <f>IF(F45&gt;0,I45/F45,0)</f>
        <v>0.9218780163963195</v>
      </c>
      <c r="M45" s="57">
        <f>'9 мес'!M45+'4 кв'!M45</f>
        <v>9795812.19</v>
      </c>
      <c r="N45" s="60"/>
    </row>
    <row r="46" ht="13.5" thickBot="1"/>
    <row r="47" spans="1:14" s="37" customFormat="1" ht="21" customHeight="1" thickBot="1">
      <c r="A47" s="33" t="s">
        <v>48</v>
      </c>
      <c r="B47" s="34">
        <f>SUM(B22:B24)</f>
        <v>0</v>
      </c>
      <c r="C47" s="34">
        <f>SUM(C22:C24)</f>
        <v>0</v>
      </c>
      <c r="D47" s="35">
        <f aca="true" t="shared" si="4" ref="D47:I47">SUM(D22:D24)</f>
        <v>1389.7800000000002</v>
      </c>
      <c r="E47" s="35">
        <f t="shared" si="4"/>
        <v>5592.704</v>
      </c>
      <c r="F47" s="35">
        <f t="shared" si="4"/>
        <v>6982.484</v>
      </c>
      <c r="G47" s="35">
        <f t="shared" si="4"/>
        <v>1250.201</v>
      </c>
      <c r="H47" s="35">
        <f t="shared" si="4"/>
        <v>5334.1939999999995</v>
      </c>
      <c r="I47" s="35">
        <f t="shared" si="4"/>
        <v>6584.3949999999995</v>
      </c>
      <c r="J47" s="61">
        <f>IF(G47=0,0,G47/D47)</f>
        <v>0.8995675574551367</v>
      </c>
      <c r="K47" s="61">
        <f>IF(H47=0,0,H47/E47)</f>
        <v>0.9537772783969972</v>
      </c>
      <c r="L47" s="61">
        <f>IF(I47&gt;0,I47/F47,0)</f>
        <v>0.942987481245929</v>
      </c>
      <c r="M47" s="58">
        <f>SUM(M22:M24)</f>
        <v>2087470.71</v>
      </c>
      <c r="N47" s="36">
        <f>IF(M47=0,0,M47/I47)</f>
        <v>317.0330318882753</v>
      </c>
    </row>
  </sheetData>
  <sheetProtection password="CC53" sheet="1" formatCells="0" formatColumns="0" formatRows="0" insertColumns="0" insertRows="0" insertHyperlinks="0" deleteColumns="0" deleteRows="0" sort="0" autoFilter="0" pivotTables="0"/>
  <mergeCells count="17">
    <mergeCell ref="E2:G2"/>
    <mergeCell ref="A1:G1"/>
    <mergeCell ref="A15:B15"/>
    <mergeCell ref="L15:M15"/>
    <mergeCell ref="A11:B11"/>
    <mergeCell ref="L13:N13"/>
    <mergeCell ref="L14:M14"/>
    <mergeCell ref="L16:M16"/>
    <mergeCell ref="L17:M17"/>
    <mergeCell ref="A19:N19"/>
    <mergeCell ref="A20:A21"/>
    <mergeCell ref="B20:C20"/>
    <mergeCell ref="D20:F20"/>
    <mergeCell ref="G20:I20"/>
    <mergeCell ref="J20:L20"/>
    <mergeCell ref="M20:M21"/>
    <mergeCell ref="N20:N21"/>
  </mergeCells>
  <printOptions horizontalCentered="1"/>
  <pageMargins left="0.31496062992125984" right="0.31496062992125984" top="0.9448818897637796" bottom="0.35433070866141736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4">
      <selection activeCell="H39" sqref="H39"/>
    </sheetView>
  </sheetViews>
  <sheetFormatPr defaultColWidth="9.125" defaultRowHeight="12.75"/>
  <cols>
    <col min="1" max="1" width="32.625" style="2" customWidth="1"/>
    <col min="2" max="2" width="13.625" style="2" bestFit="1" customWidth="1"/>
    <col min="3" max="3" width="12.125" style="2" customWidth="1"/>
    <col min="4" max="12" width="11.375" style="2" customWidth="1"/>
    <col min="13" max="13" width="12.50390625" style="2" customWidth="1"/>
    <col min="14" max="14" width="11.375" style="2" customWidth="1"/>
    <col min="15" max="15" width="10.50390625" style="2" customWidth="1"/>
    <col min="16" max="16384" width="9.125" style="2" customWidth="1"/>
  </cols>
  <sheetData>
    <row r="1" spans="1:14" ht="24" customHeight="1">
      <c r="A1" s="171" t="s">
        <v>76</v>
      </c>
      <c r="B1" s="171"/>
      <c r="C1" s="171"/>
      <c r="D1" s="171"/>
      <c r="E1" s="171"/>
      <c r="F1" s="171"/>
      <c r="G1" s="171"/>
      <c r="H1" s="120">
        <v>2023</v>
      </c>
      <c r="I1" s="1" t="s">
        <v>75</v>
      </c>
      <c r="J1" s="1"/>
      <c r="K1" s="1"/>
      <c r="L1" s="1"/>
      <c r="M1" s="1"/>
      <c r="N1" s="1"/>
    </row>
    <row r="2" spans="1:7" ht="12.75">
      <c r="A2" s="3" t="s">
        <v>26</v>
      </c>
      <c r="B2" s="38" t="s">
        <v>98</v>
      </c>
      <c r="E2" s="183" t="s">
        <v>55</v>
      </c>
      <c r="F2" s="183"/>
      <c r="G2" s="183"/>
    </row>
    <row r="3" spans="1:2" ht="12.75">
      <c r="A3" s="3" t="s">
        <v>0</v>
      </c>
      <c r="B3" s="38" t="s">
        <v>99</v>
      </c>
    </row>
    <row r="4" spans="1:2" ht="12.75">
      <c r="A4" s="4" t="s">
        <v>30</v>
      </c>
      <c r="B4" s="38">
        <v>448</v>
      </c>
    </row>
    <row r="5" spans="1:2" ht="12.75">
      <c r="A5" s="5" t="s">
        <v>28</v>
      </c>
      <c r="B5" s="140">
        <f>B6+B7</f>
        <v>4918</v>
      </c>
    </row>
    <row r="6" spans="1:2" ht="12.75">
      <c r="A6" s="6" t="s">
        <v>27</v>
      </c>
      <c r="B6" s="146">
        <v>1212</v>
      </c>
    </row>
    <row r="7" spans="1:2" ht="13.5" thickBot="1">
      <c r="A7" s="7" t="s">
        <v>29</v>
      </c>
      <c r="B7" s="147">
        <v>3706</v>
      </c>
    </row>
    <row r="8" spans="1:6" ht="12.75">
      <c r="A8" s="8" t="s">
        <v>31</v>
      </c>
      <c r="B8" s="132">
        <f>140097.22+488827.58</f>
        <v>628924.8</v>
      </c>
      <c r="C8" s="184"/>
      <c r="D8" s="187"/>
      <c r="E8" s="183"/>
      <c r="F8" s="183"/>
    </row>
    <row r="9" spans="1:6" ht="12.75">
      <c r="A9" s="9" t="s">
        <v>32</v>
      </c>
      <c r="B9" s="133">
        <f>M45</f>
        <v>624562.3399999999</v>
      </c>
      <c r="C9" s="184"/>
      <c r="D9" s="187"/>
      <c r="E9" s="183"/>
      <c r="F9" s="183"/>
    </row>
    <row r="10" spans="1:6" ht="13.5" thickBot="1">
      <c r="A10" s="11" t="s">
        <v>33</v>
      </c>
      <c r="B10" s="134">
        <f>B8-B9</f>
        <v>4362.460000000196</v>
      </c>
      <c r="C10" s="184"/>
      <c r="D10" s="187"/>
      <c r="E10" s="183"/>
      <c r="F10" s="183"/>
    </row>
    <row r="11" spans="1:3" ht="12.75" customHeight="1">
      <c r="A11" s="185" t="s">
        <v>40</v>
      </c>
      <c r="B11" s="185"/>
      <c r="C11" s="12"/>
    </row>
    <row r="12" spans="1:3" ht="12.75">
      <c r="A12" s="3" t="s">
        <v>34</v>
      </c>
      <c r="B12" s="10">
        <v>131</v>
      </c>
      <c r="C12" s="12"/>
    </row>
    <row r="13" spans="1:14" ht="12.75" customHeight="1">
      <c r="A13" s="3" t="s">
        <v>2</v>
      </c>
      <c r="B13" s="135">
        <f>IF(M45&gt;0,B8/B5,0)</f>
        <v>127.88222854819033</v>
      </c>
      <c r="C13" s="12"/>
      <c r="L13" s="176" t="s">
        <v>49</v>
      </c>
      <c r="M13" s="176"/>
      <c r="N13" s="176"/>
    </row>
    <row r="14" spans="1:14" ht="12.75">
      <c r="A14" s="14" t="s">
        <v>3</v>
      </c>
      <c r="B14" s="49">
        <f>B13/B12</f>
        <v>0.976200217925117</v>
      </c>
      <c r="E14" s="42"/>
      <c r="L14" s="177" t="s">
        <v>50</v>
      </c>
      <c r="M14" s="177"/>
      <c r="N14" s="41">
        <v>2</v>
      </c>
    </row>
    <row r="15" spans="1:14" ht="12.75" customHeight="1">
      <c r="A15" s="182" t="s">
        <v>41</v>
      </c>
      <c r="B15" s="182"/>
      <c r="C15" s="12"/>
      <c r="E15" s="43"/>
      <c r="L15" s="177" t="s">
        <v>53</v>
      </c>
      <c r="M15" s="177"/>
      <c r="N15" s="41">
        <v>1.25</v>
      </c>
    </row>
    <row r="16" spans="1:14" ht="12.75" customHeight="1">
      <c r="A16" s="3" t="s">
        <v>42</v>
      </c>
      <c r="B16" s="50">
        <f>J45</f>
        <v>0.9117825824577211</v>
      </c>
      <c r="C16" s="12"/>
      <c r="L16" s="177" t="s">
        <v>52</v>
      </c>
      <c r="M16" s="177"/>
      <c r="N16" s="41">
        <v>2.63</v>
      </c>
    </row>
    <row r="17" spans="1:14" ht="13.5" customHeight="1" thickBot="1">
      <c r="A17" s="3" t="s">
        <v>43</v>
      </c>
      <c r="B17" s="51">
        <f>K45</f>
        <v>0.9385489545189736</v>
      </c>
      <c r="C17" s="12"/>
      <c r="L17" s="177" t="s">
        <v>51</v>
      </c>
      <c r="M17" s="177"/>
      <c r="N17" s="41">
        <v>8.33</v>
      </c>
    </row>
    <row r="18" spans="1:3" ht="18" thickBot="1">
      <c r="A18" s="18" t="s">
        <v>44</v>
      </c>
      <c r="B18" s="19">
        <f>L45</f>
        <v>0.93241559868804</v>
      </c>
      <c r="C18" s="12"/>
    </row>
    <row r="19" spans="1:14" ht="18.75" customHeight="1">
      <c r="A19" s="174" t="s">
        <v>1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</row>
    <row r="20" spans="1:14" s="20" customFormat="1" ht="39" customHeight="1">
      <c r="A20" s="186"/>
      <c r="B20" s="179" t="s">
        <v>37</v>
      </c>
      <c r="C20" s="179"/>
      <c r="D20" s="178" t="s">
        <v>38</v>
      </c>
      <c r="E20" s="178"/>
      <c r="F20" s="179"/>
      <c r="G20" s="178" t="s">
        <v>39</v>
      </c>
      <c r="H20" s="179"/>
      <c r="I20" s="179"/>
      <c r="J20" s="180" t="s">
        <v>4</v>
      </c>
      <c r="K20" s="181"/>
      <c r="L20" s="181"/>
      <c r="M20" s="172" t="s">
        <v>46</v>
      </c>
      <c r="N20" s="172" t="s">
        <v>47</v>
      </c>
    </row>
    <row r="21" spans="1:14" s="20" customFormat="1" ht="12.75">
      <c r="A21" s="186"/>
      <c r="B21" s="48" t="s">
        <v>27</v>
      </c>
      <c r="C21" s="48" t="s">
        <v>29</v>
      </c>
      <c r="D21" s="21" t="s">
        <v>27</v>
      </c>
      <c r="E21" s="21" t="s">
        <v>29</v>
      </c>
      <c r="F21" s="21" t="s">
        <v>5</v>
      </c>
      <c r="G21" s="21" t="s">
        <v>27</v>
      </c>
      <c r="H21" s="21" t="s">
        <v>29</v>
      </c>
      <c r="I21" s="21" t="s">
        <v>5</v>
      </c>
      <c r="J21" s="21" t="s">
        <v>27</v>
      </c>
      <c r="K21" s="21" t="s">
        <v>29</v>
      </c>
      <c r="L21" s="22" t="s">
        <v>45</v>
      </c>
      <c r="M21" s="173"/>
      <c r="N21" s="173"/>
    </row>
    <row r="22" spans="1:14" ht="12.75">
      <c r="A22" s="23" t="s">
        <v>6</v>
      </c>
      <c r="B22" s="63">
        <v>0.05</v>
      </c>
      <c r="C22" s="63">
        <v>0.055</v>
      </c>
      <c r="D22" s="25">
        <f>B6*B22</f>
        <v>60.6</v>
      </c>
      <c r="E22" s="25">
        <f>B7*C22</f>
        <v>203.83</v>
      </c>
      <c r="F22" s="25">
        <f>D22+E22</f>
        <v>264.43</v>
      </c>
      <c r="G22" s="65">
        <v>51.204</v>
      </c>
      <c r="H22" s="65">
        <f>2.149+202.924</f>
        <v>205.073</v>
      </c>
      <c r="I22" s="26">
        <f>G22+H22</f>
        <v>256.277</v>
      </c>
      <c r="J22" s="27">
        <f>IF(D22&gt;0,G22/D22,0)</f>
        <v>0.8449504950495049</v>
      </c>
      <c r="K22" s="27">
        <f>IF(E22&gt;0,H22/E22,0)</f>
        <v>1.0060982191041554</v>
      </c>
      <c r="L22" s="28">
        <f>IF(I22&gt;0,I22/F22,0)</f>
        <v>0.9691676436107853</v>
      </c>
      <c r="M22" s="160">
        <f>1437.48+78777.2</f>
        <v>80214.68</v>
      </c>
      <c r="N22" s="29">
        <f>IF(I22&gt;0,M22/I22,0)</f>
        <v>312.99991805741445</v>
      </c>
    </row>
    <row r="23" spans="1:14" ht="12.75">
      <c r="A23" s="163" t="s">
        <v>7</v>
      </c>
      <c r="B23" s="63">
        <v>0.02</v>
      </c>
      <c r="C23" s="63">
        <v>0.024</v>
      </c>
      <c r="D23" s="25">
        <f>B6*B23</f>
        <v>24.240000000000002</v>
      </c>
      <c r="E23" s="25">
        <f>B7*C23</f>
        <v>88.944</v>
      </c>
      <c r="F23" s="25">
        <f aca="true" t="shared" si="0" ref="F23:F43">D23+E23</f>
        <v>113.184</v>
      </c>
      <c r="G23" s="159">
        <v>18.752</v>
      </c>
      <c r="H23" s="159">
        <v>63.978</v>
      </c>
      <c r="I23" s="26">
        <f aca="true" t="shared" si="1" ref="I23:I43">G23+H23</f>
        <v>82.73</v>
      </c>
      <c r="J23" s="27">
        <f aca="true" t="shared" si="2" ref="J23:L44">IF(D23&gt;0,G23/D23,0)</f>
        <v>0.7735973597359734</v>
      </c>
      <c r="K23" s="27">
        <f t="shared" si="2"/>
        <v>0.7193065299514301</v>
      </c>
      <c r="L23" s="28">
        <f t="shared" si="2"/>
        <v>0.730933700876449</v>
      </c>
      <c r="M23" s="160">
        <v>21685.2</v>
      </c>
      <c r="N23" s="29">
        <f aca="true" t="shared" si="3" ref="N23:N43">IF(I23&gt;0,M23/I23,0)</f>
        <v>262.12014988516864</v>
      </c>
    </row>
    <row r="24" spans="1:14" ht="12.75">
      <c r="A24" s="163" t="s">
        <v>97</v>
      </c>
      <c r="B24" s="158">
        <v>0.02</v>
      </c>
      <c r="C24" s="63">
        <v>0.025</v>
      </c>
      <c r="D24" s="25">
        <f>B6*B24</f>
        <v>24.240000000000002</v>
      </c>
      <c r="E24" s="25">
        <f>B7*C24</f>
        <v>92.65</v>
      </c>
      <c r="F24" s="25">
        <f>D24+E24</f>
        <v>116.89000000000001</v>
      </c>
      <c r="G24" s="159">
        <f>8.371+8.917</f>
        <v>17.288</v>
      </c>
      <c r="H24" s="159">
        <f>31.666+34.19</f>
        <v>65.856</v>
      </c>
      <c r="I24" s="26">
        <f>G24+H24</f>
        <v>83.14399999999999</v>
      </c>
      <c r="J24" s="27">
        <f>IF(D24&gt;0,G24/D24,0)</f>
        <v>0.7132013201320132</v>
      </c>
      <c r="K24" s="27">
        <f>IF(E24&gt;0,H24/E24,0)</f>
        <v>0.7108041014570965</v>
      </c>
      <c r="L24" s="28">
        <f>IF(F24&gt;0,I24/F24,0)</f>
        <v>0.7113012233724012</v>
      </c>
      <c r="M24" s="160">
        <f>11745.27+12120.89</f>
        <v>23866.16</v>
      </c>
      <c r="N24" s="29">
        <f>IF(I24&gt;0,M24/I24,0)</f>
        <v>287.04608871355725</v>
      </c>
    </row>
    <row r="25" spans="1:14" ht="12.75">
      <c r="A25" s="163" t="s">
        <v>8</v>
      </c>
      <c r="B25" s="24">
        <v>0.032</v>
      </c>
      <c r="C25" s="24">
        <v>0.037</v>
      </c>
      <c r="D25" s="25">
        <f>B6*B25</f>
        <v>38.784</v>
      </c>
      <c r="E25" s="25">
        <f>B7*C25</f>
        <v>137.12199999999999</v>
      </c>
      <c r="F25" s="25">
        <f t="shared" si="0"/>
        <v>175.90599999999998</v>
      </c>
      <c r="G25" s="159">
        <f>3.95+29.364</f>
        <v>33.314</v>
      </c>
      <c r="H25" s="159">
        <f>13.37+102.706</f>
        <v>116.07600000000001</v>
      </c>
      <c r="I25" s="26">
        <f t="shared" si="1"/>
        <v>149.39000000000001</v>
      </c>
      <c r="J25" s="27">
        <f t="shared" si="2"/>
        <v>0.8589624587458746</v>
      </c>
      <c r="K25" s="27">
        <f t="shared" si="2"/>
        <v>0.846516241011654</v>
      </c>
      <c r="L25" s="28">
        <f t="shared" si="2"/>
        <v>0.8492604004411449</v>
      </c>
      <c r="M25" s="160">
        <f>28787.47+2290.37</f>
        <v>31077.84</v>
      </c>
      <c r="N25" s="29">
        <f t="shared" si="3"/>
        <v>208.03159515362472</v>
      </c>
    </row>
    <row r="26" spans="1:14" ht="12.75">
      <c r="A26" s="163" t="s">
        <v>35</v>
      </c>
      <c r="B26" s="24">
        <v>0.018</v>
      </c>
      <c r="C26" s="24">
        <v>0.021</v>
      </c>
      <c r="D26" s="25">
        <f>B6*B26</f>
        <v>21.816</v>
      </c>
      <c r="E26" s="25">
        <f>B7*C26</f>
        <v>77.82600000000001</v>
      </c>
      <c r="F26" s="25">
        <f t="shared" si="0"/>
        <v>99.64200000000001</v>
      </c>
      <c r="G26" s="159">
        <v>22.023</v>
      </c>
      <c r="H26" s="159">
        <v>77.887</v>
      </c>
      <c r="I26" s="26">
        <f t="shared" si="1"/>
        <v>99.91</v>
      </c>
      <c r="J26" s="27">
        <f t="shared" si="2"/>
        <v>1.0094884488448845</v>
      </c>
      <c r="K26" s="27">
        <f t="shared" si="2"/>
        <v>1.0007837997584355</v>
      </c>
      <c r="L26" s="28">
        <f t="shared" si="2"/>
        <v>1.0026896288713594</v>
      </c>
      <c r="M26" s="160">
        <v>65425.52</v>
      </c>
      <c r="N26" s="29">
        <f t="shared" si="3"/>
        <v>654.8445601040937</v>
      </c>
    </row>
    <row r="27" spans="1:14" ht="12.75">
      <c r="A27" s="163" t="s">
        <v>36</v>
      </c>
      <c r="B27" s="24">
        <v>0.009</v>
      </c>
      <c r="C27" s="24">
        <v>0.011</v>
      </c>
      <c r="D27" s="25">
        <f>B6*B27</f>
        <v>10.908</v>
      </c>
      <c r="E27" s="25">
        <f>B7*C27</f>
        <v>40.766</v>
      </c>
      <c r="F27" s="25">
        <f t="shared" si="0"/>
        <v>51.674</v>
      </c>
      <c r="G27" s="159">
        <v>10.047</v>
      </c>
      <c r="H27" s="159">
        <v>41.623</v>
      </c>
      <c r="I27" s="26">
        <f t="shared" si="1"/>
        <v>51.67</v>
      </c>
      <c r="J27" s="27">
        <f t="shared" si="2"/>
        <v>0.9210671067106712</v>
      </c>
      <c r="K27" s="27">
        <f t="shared" si="2"/>
        <v>1.0210224206446548</v>
      </c>
      <c r="L27" s="28">
        <f t="shared" si="2"/>
        <v>0.9999225916321555</v>
      </c>
      <c r="M27" s="160">
        <v>7133.73</v>
      </c>
      <c r="N27" s="29">
        <f t="shared" si="3"/>
        <v>138.06328623959743</v>
      </c>
    </row>
    <row r="28" spans="1:14" ht="12.75">
      <c r="A28" s="164" t="s">
        <v>9</v>
      </c>
      <c r="B28" s="24">
        <v>0.39</v>
      </c>
      <c r="C28" s="24">
        <v>0.45</v>
      </c>
      <c r="D28" s="25">
        <f>B6*B28</f>
        <v>472.68</v>
      </c>
      <c r="E28" s="25">
        <f>B7*C28</f>
        <v>1667.7</v>
      </c>
      <c r="F28" s="25">
        <f t="shared" si="0"/>
        <v>2140.38</v>
      </c>
      <c r="G28" s="159">
        <f>124.393+303.539+7.154</f>
        <v>435.086</v>
      </c>
      <c r="H28" s="159">
        <f>379.522+1043.957+23.828</f>
        <v>1447.307</v>
      </c>
      <c r="I28" s="26">
        <f t="shared" si="1"/>
        <v>1882.393</v>
      </c>
      <c r="J28" s="27">
        <f t="shared" si="2"/>
        <v>0.9204662773969705</v>
      </c>
      <c r="K28" s="27">
        <f t="shared" si="2"/>
        <v>0.8678461353960545</v>
      </c>
      <c r="L28" s="28">
        <f t="shared" si="2"/>
        <v>0.8794667302067857</v>
      </c>
      <c r="M28" s="160">
        <f>13923+83767.01+1705.26+19283.1</f>
        <v>118678.37</v>
      </c>
      <c r="N28" s="29">
        <f t="shared" si="3"/>
        <v>63.04654235327054</v>
      </c>
    </row>
    <row r="29" spans="1:14" ht="12.75">
      <c r="A29" s="163" t="s">
        <v>10</v>
      </c>
      <c r="B29" s="24">
        <v>0.03</v>
      </c>
      <c r="C29" s="24">
        <v>0.04</v>
      </c>
      <c r="D29" s="25">
        <f>B6*B29</f>
        <v>36.36</v>
      </c>
      <c r="E29" s="25">
        <f>B7*C29</f>
        <v>148.24</v>
      </c>
      <c r="F29" s="25">
        <f t="shared" si="0"/>
        <v>184.60000000000002</v>
      </c>
      <c r="G29" s="159">
        <v>33.834</v>
      </c>
      <c r="H29" s="159">
        <v>117.58</v>
      </c>
      <c r="I29" s="26">
        <f t="shared" si="1"/>
        <v>151.414</v>
      </c>
      <c r="J29" s="27">
        <f t="shared" si="2"/>
        <v>0.9305280528052806</v>
      </c>
      <c r="K29" s="27">
        <f t="shared" si="2"/>
        <v>0.7931732325957905</v>
      </c>
      <c r="L29" s="28">
        <f t="shared" si="2"/>
        <v>0.8202275189599132</v>
      </c>
      <c r="M29" s="160">
        <v>50727.6</v>
      </c>
      <c r="N29" s="29">
        <f t="shared" si="3"/>
        <v>335.0258232395948</v>
      </c>
    </row>
    <row r="30" spans="1:14" ht="12.75">
      <c r="A30" s="163" t="s">
        <v>11</v>
      </c>
      <c r="B30" s="24">
        <v>0.009</v>
      </c>
      <c r="C30" s="24">
        <v>0.011</v>
      </c>
      <c r="D30" s="25">
        <f>B6*B30</f>
        <v>10.908</v>
      </c>
      <c r="E30" s="25">
        <f>B7*C30</f>
        <v>40.766</v>
      </c>
      <c r="F30" s="25">
        <f t="shared" si="0"/>
        <v>51.674</v>
      </c>
      <c r="G30" s="159">
        <v>8.281</v>
      </c>
      <c r="H30" s="159">
        <v>31.066</v>
      </c>
      <c r="I30" s="26">
        <f t="shared" si="1"/>
        <v>39.347</v>
      </c>
      <c r="J30" s="27">
        <f t="shared" si="2"/>
        <v>0.7591675834250092</v>
      </c>
      <c r="K30" s="27">
        <f t="shared" si="2"/>
        <v>0.7620566158072904</v>
      </c>
      <c r="L30" s="28">
        <f t="shared" si="2"/>
        <v>0.761446762395015</v>
      </c>
      <c r="M30" s="160">
        <v>7043.12</v>
      </c>
      <c r="N30" s="29">
        <f t="shared" si="3"/>
        <v>179.00017790428748</v>
      </c>
    </row>
    <row r="31" spans="1:14" ht="12.75">
      <c r="A31" s="163" t="s">
        <v>12</v>
      </c>
      <c r="B31" s="24">
        <v>0.004</v>
      </c>
      <c r="C31" s="24">
        <v>0.006</v>
      </c>
      <c r="D31" s="25">
        <f>B6*B31</f>
        <v>4.848</v>
      </c>
      <c r="E31" s="25">
        <f>B7*C31</f>
        <v>22.236</v>
      </c>
      <c r="F31" s="25">
        <f t="shared" si="0"/>
        <v>27.084</v>
      </c>
      <c r="G31" s="159">
        <v>4.281</v>
      </c>
      <c r="H31" s="159">
        <v>19.125</v>
      </c>
      <c r="I31" s="26">
        <f t="shared" si="1"/>
        <v>23.406</v>
      </c>
      <c r="J31" s="27">
        <f t="shared" si="2"/>
        <v>0.8830445544554455</v>
      </c>
      <c r="K31" s="27">
        <f t="shared" si="2"/>
        <v>0.8600917431192661</v>
      </c>
      <c r="L31" s="28">
        <f t="shared" si="2"/>
        <v>0.8642002658396101</v>
      </c>
      <c r="M31" s="160">
        <v>9893.3</v>
      </c>
      <c r="N31" s="29">
        <f t="shared" si="3"/>
        <v>422.6822182346407</v>
      </c>
    </row>
    <row r="32" spans="1:14" ht="12.75">
      <c r="A32" s="163" t="s">
        <v>13</v>
      </c>
      <c r="B32" s="24">
        <v>1</v>
      </c>
      <c r="C32" s="24">
        <v>1</v>
      </c>
      <c r="D32" s="25">
        <f>B6*B32</f>
        <v>1212</v>
      </c>
      <c r="E32" s="25">
        <f>B7*C32</f>
        <v>3706</v>
      </c>
      <c r="F32" s="25">
        <f t="shared" si="0"/>
        <v>4918</v>
      </c>
      <c r="G32" s="159">
        <v>1111.3</v>
      </c>
      <c r="H32" s="159">
        <v>3685</v>
      </c>
      <c r="I32" s="26">
        <f t="shared" si="1"/>
        <v>4796.3</v>
      </c>
      <c r="J32" s="27">
        <f t="shared" si="2"/>
        <v>0.9169141914191419</v>
      </c>
      <c r="K32" s="27">
        <f t="shared" si="2"/>
        <v>0.9943335132218025</v>
      </c>
      <c r="L32" s="28">
        <f t="shared" si="2"/>
        <v>0.9752541683611224</v>
      </c>
      <c r="M32" s="160">
        <v>35972.13</v>
      </c>
      <c r="N32" s="29">
        <f t="shared" si="3"/>
        <v>7.4999749807143</v>
      </c>
    </row>
    <row r="33" spans="1:14" ht="12.75">
      <c r="A33" s="163" t="s">
        <v>14</v>
      </c>
      <c r="B33" s="24">
        <v>0.025</v>
      </c>
      <c r="C33" s="24">
        <v>0.029</v>
      </c>
      <c r="D33" s="25">
        <f>B6*B33</f>
        <v>30.3</v>
      </c>
      <c r="E33" s="25">
        <f>B7*C33</f>
        <v>107.474</v>
      </c>
      <c r="F33" s="25">
        <f>D33+E33</f>
        <v>137.774</v>
      </c>
      <c r="G33" s="159">
        <v>29.086</v>
      </c>
      <c r="H33" s="159">
        <v>104.871</v>
      </c>
      <c r="I33" s="26">
        <f t="shared" si="1"/>
        <v>133.957</v>
      </c>
      <c r="J33" s="27">
        <f t="shared" si="2"/>
        <v>0.9599339933993398</v>
      </c>
      <c r="K33" s="27">
        <f t="shared" si="2"/>
        <v>0.975780188696801</v>
      </c>
      <c r="L33" s="28">
        <f t="shared" si="2"/>
        <v>0.9722952080944154</v>
      </c>
      <c r="M33" s="160">
        <v>4032.27</v>
      </c>
      <c r="N33" s="29">
        <f t="shared" si="3"/>
        <v>30.101226512985512</v>
      </c>
    </row>
    <row r="34" spans="1:14" ht="12.75">
      <c r="A34" s="163" t="s">
        <v>15</v>
      </c>
      <c r="B34" s="24">
        <v>0.03</v>
      </c>
      <c r="C34" s="24">
        <v>0.043</v>
      </c>
      <c r="D34" s="25">
        <f>B6*B34</f>
        <v>36.36</v>
      </c>
      <c r="E34" s="25">
        <f>B7*C34</f>
        <v>159.35799999999998</v>
      </c>
      <c r="F34" s="25">
        <f t="shared" si="0"/>
        <v>195.71799999999996</v>
      </c>
      <c r="G34" s="159">
        <f>3.001+7.423+4.568+1.925+4.735+0.395+2.545+1.11+7.916+2.736</f>
        <v>36.35399999999999</v>
      </c>
      <c r="H34" s="159">
        <f>12.047+20.466+18.04+7.11+17.194+1.332+8.45+3.791+33.875+8.66</f>
        <v>130.965</v>
      </c>
      <c r="I34" s="26">
        <f t="shared" si="1"/>
        <v>167.319</v>
      </c>
      <c r="J34" s="27">
        <f t="shared" si="2"/>
        <v>0.9998349834983496</v>
      </c>
      <c r="K34" s="27">
        <f t="shared" si="2"/>
        <v>0.8218288382133312</v>
      </c>
      <c r="L34" s="28">
        <f t="shared" si="2"/>
        <v>0.8548983741914388</v>
      </c>
      <c r="M34" s="160">
        <f>484.53+767.87+1800.23+383.49+758.25+38.92+142.19+300.24+424.27+3598.81</f>
        <v>8698.8</v>
      </c>
      <c r="N34" s="29">
        <f t="shared" si="3"/>
        <v>51.98931382568626</v>
      </c>
    </row>
    <row r="35" spans="1:14" ht="12.75">
      <c r="A35" s="163" t="s">
        <v>16</v>
      </c>
      <c r="B35" s="24">
        <v>0.008</v>
      </c>
      <c r="C35" s="24">
        <v>0.012</v>
      </c>
      <c r="D35" s="25">
        <f>B6*B35</f>
        <v>9.696</v>
      </c>
      <c r="E35" s="25">
        <f>B7*C35</f>
        <v>44.472</v>
      </c>
      <c r="F35" s="25">
        <f t="shared" si="0"/>
        <v>54.168</v>
      </c>
      <c r="G35" s="159">
        <v>9.778</v>
      </c>
      <c r="H35" s="159">
        <v>34.939</v>
      </c>
      <c r="I35" s="26">
        <f t="shared" si="1"/>
        <v>44.717</v>
      </c>
      <c r="J35" s="27">
        <f t="shared" si="2"/>
        <v>1.008457095709571</v>
      </c>
      <c r="K35" s="27">
        <f t="shared" si="2"/>
        <v>0.7856404029501709</v>
      </c>
      <c r="L35" s="28">
        <f t="shared" si="2"/>
        <v>0.8255242947865898</v>
      </c>
      <c r="M35" s="160">
        <v>1968.72</v>
      </c>
      <c r="N35" s="29">
        <f t="shared" si="3"/>
        <v>44.02620927164166</v>
      </c>
    </row>
    <row r="36" spans="1:14" ht="12.75">
      <c r="A36" s="163" t="s">
        <v>17</v>
      </c>
      <c r="B36" s="24">
        <v>0.025</v>
      </c>
      <c r="C36" s="24">
        <v>0.03</v>
      </c>
      <c r="D36" s="25">
        <f>B6*B36</f>
        <v>30.3</v>
      </c>
      <c r="E36" s="25">
        <f>B7*C36</f>
        <v>111.17999999999999</v>
      </c>
      <c r="F36" s="25">
        <f t="shared" si="0"/>
        <v>141.48</v>
      </c>
      <c r="G36" s="159">
        <v>27.563</v>
      </c>
      <c r="H36" s="159">
        <v>102.869</v>
      </c>
      <c r="I36" s="26">
        <f t="shared" si="1"/>
        <v>130.432</v>
      </c>
      <c r="J36" s="27">
        <f t="shared" si="2"/>
        <v>0.9096699669966997</v>
      </c>
      <c r="K36" s="27">
        <f t="shared" si="2"/>
        <v>0.9252473466450801</v>
      </c>
      <c r="L36" s="28">
        <f t="shared" si="2"/>
        <v>0.9219112242013006</v>
      </c>
      <c r="M36" s="160">
        <v>8312.63</v>
      </c>
      <c r="N36" s="29">
        <f t="shared" si="3"/>
        <v>63.73152293915604</v>
      </c>
    </row>
    <row r="37" spans="1:14" ht="12.75">
      <c r="A37" s="163" t="s">
        <v>18</v>
      </c>
      <c r="B37" s="24">
        <v>0.012</v>
      </c>
      <c r="C37" s="24">
        <v>0.02</v>
      </c>
      <c r="D37" s="25">
        <f>B6*B37</f>
        <v>14.544</v>
      </c>
      <c r="E37" s="25">
        <f>B7*C37</f>
        <v>74.12</v>
      </c>
      <c r="F37" s="25">
        <f t="shared" si="0"/>
        <v>88.664</v>
      </c>
      <c r="G37" s="159">
        <f>2.454+10.128</f>
        <v>12.582</v>
      </c>
      <c r="H37" s="159">
        <f>12.183+31.23</f>
        <v>43.413</v>
      </c>
      <c r="I37" s="26">
        <f t="shared" si="1"/>
        <v>55.995</v>
      </c>
      <c r="J37" s="27">
        <f t="shared" si="2"/>
        <v>0.8650990099009901</v>
      </c>
      <c r="K37" s="27">
        <f t="shared" si="2"/>
        <v>0.5857123583378304</v>
      </c>
      <c r="L37" s="28">
        <f t="shared" si="2"/>
        <v>0.6315415501218081</v>
      </c>
      <c r="M37" s="160">
        <f>1681.82+4805.25</f>
        <v>6487.07</v>
      </c>
      <c r="N37" s="29">
        <f t="shared" si="3"/>
        <v>115.85087954281633</v>
      </c>
    </row>
    <row r="38" spans="1:14" ht="12.75">
      <c r="A38" s="163" t="s">
        <v>19</v>
      </c>
      <c r="B38" s="24">
        <v>0.009</v>
      </c>
      <c r="C38" s="24">
        <v>0.011</v>
      </c>
      <c r="D38" s="25">
        <f>B6*B38</f>
        <v>10.908</v>
      </c>
      <c r="E38" s="25">
        <f>B7*C38</f>
        <v>40.766</v>
      </c>
      <c r="F38" s="25">
        <f t="shared" si="0"/>
        <v>51.674</v>
      </c>
      <c r="G38" s="159">
        <f>5.054+2.93</f>
        <v>7.984</v>
      </c>
      <c r="H38" s="159">
        <f>20.646+10.44</f>
        <v>31.086</v>
      </c>
      <c r="I38" s="26">
        <f t="shared" si="1"/>
        <v>39.07</v>
      </c>
      <c r="J38" s="27">
        <f t="shared" si="2"/>
        <v>0.731939860652732</v>
      </c>
      <c r="K38" s="27">
        <f t="shared" si="2"/>
        <v>0.7625472207231516</v>
      </c>
      <c r="L38" s="28">
        <f t="shared" si="2"/>
        <v>0.7560862329217789</v>
      </c>
      <c r="M38" s="160">
        <f>2561.59+2781.99</f>
        <v>5343.58</v>
      </c>
      <c r="N38" s="29">
        <f t="shared" si="3"/>
        <v>136.76938827745073</v>
      </c>
    </row>
    <row r="39" spans="1:14" ht="12.75">
      <c r="A39" s="163" t="s">
        <v>20</v>
      </c>
      <c r="B39" s="24">
        <v>0.095</v>
      </c>
      <c r="C39" s="24">
        <v>0.1</v>
      </c>
      <c r="D39" s="25">
        <f>B6*B39</f>
        <v>115.14</v>
      </c>
      <c r="E39" s="25">
        <f>B7*C39</f>
        <v>370.6</v>
      </c>
      <c r="F39" s="25">
        <f t="shared" si="0"/>
        <v>485.74</v>
      </c>
      <c r="G39" s="159">
        <f>9.264+99.96</f>
        <v>109.22399999999999</v>
      </c>
      <c r="H39" s="159">
        <f>33.561+324.58</f>
        <v>358.14099999999996</v>
      </c>
      <c r="I39" s="26">
        <f t="shared" si="1"/>
        <v>467.36499999999995</v>
      </c>
      <c r="J39" s="27">
        <f t="shared" si="2"/>
        <v>0.948619072433559</v>
      </c>
      <c r="K39" s="27">
        <f t="shared" si="2"/>
        <v>0.9663815434430651</v>
      </c>
      <c r="L39" s="28">
        <f t="shared" si="2"/>
        <v>0.9621711203524518</v>
      </c>
      <c r="M39" s="160">
        <f>8578.82+25351.19</f>
        <v>33930.009999999995</v>
      </c>
      <c r="N39" s="29">
        <f t="shared" si="3"/>
        <v>72.59852577749724</v>
      </c>
    </row>
    <row r="40" spans="1:14" ht="12.75">
      <c r="A40" s="163" t="s">
        <v>21</v>
      </c>
      <c r="B40" s="24">
        <v>0.1</v>
      </c>
      <c r="C40" s="24">
        <v>0.1</v>
      </c>
      <c r="D40" s="25">
        <f>B6*B40</f>
        <v>121.2</v>
      </c>
      <c r="E40" s="25">
        <f>B7*C40</f>
        <v>370.6</v>
      </c>
      <c r="F40" s="25">
        <f t="shared" si="0"/>
        <v>491.8</v>
      </c>
      <c r="G40" s="159">
        <v>99</v>
      </c>
      <c r="H40" s="159">
        <v>356.6</v>
      </c>
      <c r="I40" s="26">
        <f t="shared" si="1"/>
        <v>455.6</v>
      </c>
      <c r="J40" s="27">
        <f t="shared" si="2"/>
        <v>0.8168316831683168</v>
      </c>
      <c r="K40" s="27">
        <f t="shared" si="2"/>
        <v>0.9622234214786832</v>
      </c>
      <c r="L40" s="28">
        <f t="shared" si="2"/>
        <v>0.9263928426189508</v>
      </c>
      <c r="M40" s="160">
        <f>14774.02+9032.82</f>
        <v>23806.84</v>
      </c>
      <c r="N40" s="29">
        <f t="shared" si="3"/>
        <v>52.25381913959613</v>
      </c>
    </row>
    <row r="41" spans="1:14" ht="12.75">
      <c r="A41" s="163" t="s">
        <v>22</v>
      </c>
      <c r="B41" s="63">
        <v>0.12</v>
      </c>
      <c r="C41" s="63">
        <v>0.14</v>
      </c>
      <c r="D41" s="25">
        <f>B6*B41</f>
        <v>145.44</v>
      </c>
      <c r="E41" s="25">
        <f>B7*C41</f>
        <v>518.84</v>
      </c>
      <c r="F41" s="25">
        <f t="shared" si="0"/>
        <v>664.28</v>
      </c>
      <c r="G41" s="159">
        <v>149.224</v>
      </c>
      <c r="H41" s="159">
        <v>561.147</v>
      </c>
      <c r="I41" s="26">
        <f t="shared" si="1"/>
        <v>710.3710000000001</v>
      </c>
      <c r="J41" s="27">
        <f t="shared" si="2"/>
        <v>1.0260176017601759</v>
      </c>
      <c r="K41" s="27">
        <f t="shared" si="2"/>
        <v>1.0815415156888444</v>
      </c>
      <c r="L41" s="28">
        <f t="shared" si="2"/>
        <v>1.0693848979346061</v>
      </c>
      <c r="M41" s="160">
        <v>20844.83</v>
      </c>
      <c r="N41" s="29">
        <f t="shared" si="3"/>
        <v>29.343582437909205</v>
      </c>
    </row>
    <row r="42" spans="1:14" ht="12.75">
      <c r="A42" s="163" t="s">
        <v>23</v>
      </c>
      <c r="B42" s="24">
        <v>0.18</v>
      </c>
      <c r="C42" s="24">
        <v>0.22</v>
      </c>
      <c r="D42" s="25">
        <f>B6*B42</f>
        <v>218.16</v>
      </c>
      <c r="E42" s="25">
        <f>B7*C42</f>
        <v>815.32</v>
      </c>
      <c r="F42" s="25">
        <f t="shared" si="0"/>
        <v>1033.48</v>
      </c>
      <c r="G42" s="159">
        <f>6.629+67.292+25.602+49.699+1.728+25.55+6.869+1.254</f>
        <v>184.62300000000002</v>
      </c>
      <c r="H42" s="159">
        <f>23.726+252.915+102.87+206.586+7.018+107.475+27.335+5.787</f>
        <v>733.7120000000001</v>
      </c>
      <c r="I42" s="26">
        <f t="shared" si="1"/>
        <v>918.3350000000002</v>
      </c>
      <c r="J42" s="27">
        <f t="shared" si="2"/>
        <v>0.8462733773377339</v>
      </c>
      <c r="K42" s="27">
        <f t="shared" si="2"/>
        <v>0.8999067850659864</v>
      </c>
      <c r="L42" s="28">
        <f t="shared" si="2"/>
        <v>0.8885851685567211</v>
      </c>
      <c r="M42" s="160">
        <f>2751.24+7233.21+4568.38+6215.26+530.88+630.5+2894.31+3462.93+1129.92</f>
        <v>29416.630000000005</v>
      </c>
      <c r="N42" s="29">
        <f t="shared" si="3"/>
        <v>32.032569813847886</v>
      </c>
    </row>
    <row r="43" spans="1:14" ht="12.75">
      <c r="A43" s="163" t="s">
        <v>24</v>
      </c>
      <c r="B43" s="24">
        <v>0.04</v>
      </c>
      <c r="C43" s="24">
        <v>0.05</v>
      </c>
      <c r="D43" s="25">
        <f>B6*B43</f>
        <v>48.480000000000004</v>
      </c>
      <c r="E43" s="25">
        <f>B7*C43</f>
        <v>185.3</v>
      </c>
      <c r="F43" s="25">
        <f t="shared" si="0"/>
        <v>233.78000000000003</v>
      </c>
      <c r="G43" s="159">
        <v>48.48</v>
      </c>
      <c r="H43" s="159">
        <v>168.094</v>
      </c>
      <c r="I43" s="26">
        <f t="shared" si="1"/>
        <v>216.57399999999998</v>
      </c>
      <c r="J43" s="27">
        <f t="shared" si="2"/>
        <v>0.9999999999999999</v>
      </c>
      <c r="K43" s="27">
        <f t="shared" si="2"/>
        <v>0.9071451699946033</v>
      </c>
      <c r="L43" s="28">
        <f t="shared" si="2"/>
        <v>0.9264008897253827</v>
      </c>
      <c r="M43" s="160">
        <v>10467.75</v>
      </c>
      <c r="N43" s="29">
        <f t="shared" si="3"/>
        <v>48.3333641157295</v>
      </c>
    </row>
    <row r="44" spans="1:14" ht="12.75">
      <c r="A44" s="164" t="s">
        <v>25</v>
      </c>
      <c r="B44" s="64">
        <v>0.06</v>
      </c>
      <c r="C44" s="64">
        <v>0.08</v>
      </c>
      <c r="D44" s="25">
        <f>B6*B44</f>
        <v>72.72</v>
      </c>
      <c r="E44" s="25">
        <f>B7*C44</f>
        <v>296.48</v>
      </c>
      <c r="F44" s="25">
        <f>D44+E44</f>
        <v>369.20000000000005</v>
      </c>
      <c r="G44" s="159">
        <f>35.942+30.964</f>
        <v>66.906</v>
      </c>
      <c r="H44" s="159">
        <f>108.098+143.324</f>
        <v>251.42200000000003</v>
      </c>
      <c r="I44" s="26">
        <f>G44+H44</f>
        <v>318.32800000000003</v>
      </c>
      <c r="J44" s="27">
        <f t="shared" si="2"/>
        <v>0.9200495049504952</v>
      </c>
      <c r="K44" s="27">
        <f t="shared" si="2"/>
        <v>0.8480234754452239</v>
      </c>
      <c r="L44" s="28">
        <f t="shared" si="2"/>
        <v>0.8622101841820151</v>
      </c>
      <c r="M44" s="160">
        <f>8423.9+11111.66</f>
        <v>19535.559999999998</v>
      </c>
      <c r="N44" s="29">
        <f>IF(I44&gt;0,M44/I44,0)</f>
        <v>61.369279485310734</v>
      </c>
    </row>
    <row r="45" spans="1:14" s="20" customFormat="1" ht="12.75">
      <c r="A45" s="44" t="s">
        <v>54</v>
      </c>
      <c r="B45" s="45"/>
      <c r="C45" s="45"/>
      <c r="D45" s="46">
        <f>SUM(D22:D44)</f>
        <v>2770.631999999999</v>
      </c>
      <c r="E45" s="46">
        <f>SUM(E22:E44)</f>
        <v>9320.59</v>
      </c>
      <c r="F45" s="46">
        <f>D45+E45</f>
        <v>12091.222</v>
      </c>
      <c r="G45" s="56">
        <f>SUM(G22:G44)</f>
        <v>2526.214</v>
      </c>
      <c r="H45" s="56">
        <f>SUM(H22:H44)</f>
        <v>8747.83</v>
      </c>
      <c r="I45" s="47">
        <f>G45+H45</f>
        <v>11274.044</v>
      </c>
      <c r="J45" s="59">
        <f>IF(G45&gt;0,G45/D45,0)</f>
        <v>0.9117825824577211</v>
      </c>
      <c r="K45" s="59">
        <f>IF(E45&gt;0,H45/E45,0)</f>
        <v>0.9385489545189736</v>
      </c>
      <c r="L45" s="59">
        <f>IF(F45&gt;0,I45/F45,0)</f>
        <v>0.93241559868804</v>
      </c>
      <c r="M45" s="57">
        <f>SUM(SUM(M22:M44))</f>
        <v>624562.3399999999</v>
      </c>
      <c r="N45" s="60"/>
    </row>
    <row r="46" ht="13.5" thickBot="1"/>
    <row r="47" spans="1:14" s="37" customFormat="1" ht="21" customHeight="1" thickBot="1">
      <c r="A47" s="33" t="s">
        <v>48</v>
      </c>
      <c r="B47" s="34">
        <f aca="true" t="shared" si="4" ref="B47:I47">SUM(B22:B24)</f>
        <v>0.09000000000000001</v>
      </c>
      <c r="C47" s="34">
        <f t="shared" si="4"/>
        <v>0.10400000000000001</v>
      </c>
      <c r="D47" s="35">
        <f t="shared" si="4"/>
        <v>109.08000000000001</v>
      </c>
      <c r="E47" s="35">
        <f t="shared" si="4"/>
        <v>385.424</v>
      </c>
      <c r="F47" s="35">
        <f t="shared" si="4"/>
        <v>494.504</v>
      </c>
      <c r="G47" s="35">
        <f t="shared" si="4"/>
        <v>87.244</v>
      </c>
      <c r="H47" s="35">
        <f t="shared" si="4"/>
        <v>334.907</v>
      </c>
      <c r="I47" s="35">
        <f t="shared" si="4"/>
        <v>422.151</v>
      </c>
      <c r="J47" s="61">
        <f>IF(G47=0,0,G47/D47)</f>
        <v>0.7998166483314997</v>
      </c>
      <c r="K47" s="61">
        <f>IF(H47=0,0,H47/E47)</f>
        <v>0.8689313587114451</v>
      </c>
      <c r="L47" s="61">
        <f>IF(I47&gt;0,I47/F47,0)</f>
        <v>0.8536857133612671</v>
      </c>
      <c r="M47" s="58">
        <f>SUM(M22:M24)</f>
        <v>125766.04</v>
      </c>
      <c r="N47" s="36">
        <f>IF(M47=0,0,M47/I47)</f>
        <v>297.9171907682322</v>
      </c>
    </row>
    <row r="48" spans="10:13" ht="12.75">
      <c r="J48" s="62"/>
      <c r="K48" s="62"/>
      <c r="L48" s="62"/>
      <c r="M48" s="62"/>
    </row>
  </sheetData>
  <sheetProtection password="CC53" sheet="1" formatCells="0" formatColumns="0" formatRows="0"/>
  <mergeCells count="19">
    <mergeCell ref="M20:M21"/>
    <mergeCell ref="A15:B15"/>
    <mergeCell ref="E2:G2"/>
    <mergeCell ref="C8:C10"/>
    <mergeCell ref="A11:B11"/>
    <mergeCell ref="B20:C20"/>
    <mergeCell ref="A20:A21"/>
    <mergeCell ref="D8:F10"/>
    <mergeCell ref="L17:M17"/>
    <mergeCell ref="A1:G1"/>
    <mergeCell ref="N20:N21"/>
    <mergeCell ref="A19:N19"/>
    <mergeCell ref="L13:N13"/>
    <mergeCell ref="L14:M14"/>
    <mergeCell ref="L15:M15"/>
    <mergeCell ref="L16:M16"/>
    <mergeCell ref="D20:F20"/>
    <mergeCell ref="G20:I20"/>
    <mergeCell ref="J20:L20"/>
  </mergeCells>
  <printOptions horizontalCentered="1"/>
  <pageMargins left="0.35433070866141736" right="0.31496062992125984" top="0.73" bottom="0.31496062992125984" header="0" footer="0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B7" sqref="B7"/>
    </sheetView>
  </sheetViews>
  <sheetFormatPr defaultColWidth="9.125" defaultRowHeight="12.75"/>
  <cols>
    <col min="1" max="1" width="32.625" style="2" customWidth="1"/>
    <col min="2" max="3" width="12.125" style="2" customWidth="1"/>
    <col min="4" max="12" width="11.375" style="2" customWidth="1"/>
    <col min="13" max="13" width="12.50390625" style="2" customWidth="1"/>
    <col min="14" max="14" width="11.375" style="2" customWidth="1"/>
    <col min="15" max="15" width="10.50390625" style="2" customWidth="1"/>
    <col min="16" max="16384" width="9.125" style="2" customWidth="1"/>
  </cols>
  <sheetData>
    <row r="1" spans="1:14" ht="24" customHeight="1">
      <c r="A1" s="171" t="s">
        <v>77</v>
      </c>
      <c r="B1" s="171"/>
      <c r="C1" s="171"/>
      <c r="D1" s="171"/>
      <c r="E1" s="171"/>
      <c r="F1" s="171"/>
      <c r="G1" s="171"/>
      <c r="H1" s="119">
        <f>янв!H1</f>
        <v>2023</v>
      </c>
      <c r="I1" s="1" t="s">
        <v>75</v>
      </c>
      <c r="J1" s="1"/>
      <c r="K1" s="1"/>
      <c r="L1" s="1"/>
      <c r="M1" s="1"/>
      <c r="N1" s="1"/>
    </row>
    <row r="2" spans="1:7" ht="12.75">
      <c r="A2" s="3" t="s">
        <v>26</v>
      </c>
      <c r="B2" s="157" t="s">
        <v>98</v>
      </c>
      <c r="E2" s="183" t="s">
        <v>55</v>
      </c>
      <c r="F2" s="183"/>
      <c r="G2" s="183"/>
    </row>
    <row r="3" spans="1:2" ht="12.75">
      <c r="A3" s="3" t="s">
        <v>0</v>
      </c>
      <c r="B3" s="38" t="s">
        <v>100</v>
      </c>
    </row>
    <row r="4" spans="1:2" ht="12.75">
      <c r="A4" s="4" t="s">
        <v>30</v>
      </c>
      <c r="B4" s="38">
        <v>448</v>
      </c>
    </row>
    <row r="5" spans="1:2" ht="12.75">
      <c r="A5" s="5" t="s">
        <v>28</v>
      </c>
      <c r="B5" s="140">
        <f>B6+B7</f>
        <v>4915</v>
      </c>
    </row>
    <row r="6" spans="1:2" ht="12.75">
      <c r="A6" s="6" t="s">
        <v>27</v>
      </c>
      <c r="B6" s="146">
        <v>1200</v>
      </c>
    </row>
    <row r="7" spans="1:2" ht="13.5" thickBot="1">
      <c r="A7" s="7" t="s">
        <v>29</v>
      </c>
      <c r="B7" s="147">
        <v>3715</v>
      </c>
    </row>
    <row r="8" spans="1:6" ht="12.75">
      <c r="A8" s="8" t="s">
        <v>31</v>
      </c>
      <c r="B8" s="132">
        <f>496037.72+141006.94</f>
        <v>637044.6599999999</v>
      </c>
      <c r="C8" s="184"/>
      <c r="D8" s="187"/>
      <c r="E8" s="183"/>
      <c r="F8" s="183"/>
    </row>
    <row r="9" spans="1:6" ht="12.75">
      <c r="A9" s="9" t="s">
        <v>32</v>
      </c>
      <c r="B9" s="133">
        <f>M45</f>
        <v>632809.9999999999</v>
      </c>
      <c r="C9" s="184"/>
      <c r="D9" s="187"/>
      <c r="E9" s="183"/>
      <c r="F9" s="183"/>
    </row>
    <row r="10" spans="1:6" ht="13.5" thickBot="1">
      <c r="A10" s="11" t="s">
        <v>33</v>
      </c>
      <c r="B10" s="134">
        <f>B8-B9</f>
        <v>4234.660000000033</v>
      </c>
      <c r="C10" s="184"/>
      <c r="D10" s="187"/>
      <c r="E10" s="183"/>
      <c r="F10" s="183"/>
    </row>
    <row r="11" spans="1:3" ht="12.75">
      <c r="A11" s="185" t="s">
        <v>40</v>
      </c>
      <c r="B11" s="185"/>
      <c r="C11" s="12"/>
    </row>
    <row r="12" spans="1:3" ht="12.75">
      <c r="A12" s="3" t="s">
        <v>34</v>
      </c>
      <c r="B12" s="13">
        <v>131</v>
      </c>
      <c r="C12" s="12"/>
    </row>
    <row r="13" spans="1:14" ht="12.75" customHeight="1">
      <c r="A13" s="3" t="s">
        <v>2</v>
      </c>
      <c r="B13" s="131">
        <f>IF(M45&gt;0,B8/B5,0)</f>
        <v>129.6123418107833</v>
      </c>
      <c r="C13" s="12"/>
      <c r="L13" s="176" t="s">
        <v>49</v>
      </c>
      <c r="M13" s="176"/>
      <c r="N13" s="176"/>
    </row>
    <row r="14" spans="1:14" ht="12.75">
      <c r="A14" s="14" t="s">
        <v>3</v>
      </c>
      <c r="B14" s="15">
        <f>B13/B12</f>
        <v>0.9894071893952924</v>
      </c>
      <c r="E14" s="42"/>
      <c r="L14" s="177" t="s">
        <v>50</v>
      </c>
      <c r="M14" s="177"/>
      <c r="N14" s="41">
        <v>2</v>
      </c>
    </row>
    <row r="15" spans="1:14" ht="12.75">
      <c r="A15" s="182" t="s">
        <v>41</v>
      </c>
      <c r="B15" s="182"/>
      <c r="C15" s="12"/>
      <c r="E15" s="43"/>
      <c r="L15" s="177" t="s">
        <v>53</v>
      </c>
      <c r="M15" s="177"/>
      <c r="N15" s="41">
        <v>1.25</v>
      </c>
    </row>
    <row r="16" spans="1:14" ht="12.75">
      <c r="A16" s="3" t="s">
        <v>42</v>
      </c>
      <c r="B16" s="16">
        <f>J45</f>
        <v>0.8799846894138234</v>
      </c>
      <c r="C16" s="12"/>
      <c r="L16" s="177" t="s">
        <v>52</v>
      </c>
      <c r="M16" s="177"/>
      <c r="N16" s="41">
        <v>2.63</v>
      </c>
    </row>
    <row r="17" spans="1:14" ht="13.5" thickBot="1">
      <c r="A17" s="3" t="s">
        <v>43</v>
      </c>
      <c r="B17" s="17">
        <f>K45</f>
        <v>0.9084061445592928</v>
      </c>
      <c r="C17" s="12"/>
      <c r="L17" s="177" t="s">
        <v>51</v>
      </c>
      <c r="M17" s="177"/>
      <c r="N17" s="41">
        <v>8.33</v>
      </c>
    </row>
    <row r="18" spans="1:3" ht="18" thickBot="1">
      <c r="A18" s="18" t="s">
        <v>44</v>
      </c>
      <c r="B18" s="19">
        <f>L45</f>
        <v>0.901955458293085</v>
      </c>
      <c r="C18" s="12"/>
    </row>
    <row r="19" spans="1:14" ht="18.75" customHeight="1">
      <c r="A19" s="174" t="s">
        <v>1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</row>
    <row r="20" spans="1:14" s="20" customFormat="1" ht="39" customHeight="1">
      <c r="A20" s="186"/>
      <c r="B20" s="179" t="s">
        <v>37</v>
      </c>
      <c r="C20" s="179"/>
      <c r="D20" s="178" t="s">
        <v>38</v>
      </c>
      <c r="E20" s="178"/>
      <c r="F20" s="179"/>
      <c r="G20" s="178" t="s">
        <v>39</v>
      </c>
      <c r="H20" s="179"/>
      <c r="I20" s="179"/>
      <c r="J20" s="180" t="s">
        <v>4</v>
      </c>
      <c r="K20" s="181"/>
      <c r="L20" s="181"/>
      <c r="M20" s="172" t="s">
        <v>46</v>
      </c>
      <c r="N20" s="172" t="s">
        <v>47</v>
      </c>
    </row>
    <row r="21" spans="1:14" s="20" customFormat="1" ht="12.75">
      <c r="A21" s="186"/>
      <c r="B21" s="48" t="s">
        <v>27</v>
      </c>
      <c r="C21" s="48" t="s">
        <v>29</v>
      </c>
      <c r="D21" s="21" t="s">
        <v>27</v>
      </c>
      <c r="E21" s="21" t="s">
        <v>29</v>
      </c>
      <c r="F21" s="21" t="s">
        <v>5</v>
      </c>
      <c r="G21" s="21" t="s">
        <v>27</v>
      </c>
      <c r="H21" s="21" t="s">
        <v>29</v>
      </c>
      <c r="I21" s="21" t="s">
        <v>5</v>
      </c>
      <c r="J21" s="21" t="s">
        <v>27</v>
      </c>
      <c r="K21" s="21" t="s">
        <v>29</v>
      </c>
      <c r="L21" s="22" t="s">
        <v>45</v>
      </c>
      <c r="M21" s="173"/>
      <c r="N21" s="173"/>
    </row>
    <row r="22" spans="1:14" ht="12.75">
      <c r="A22" s="23" t="s">
        <v>6</v>
      </c>
      <c r="B22" s="63">
        <v>0.05</v>
      </c>
      <c r="C22" s="63">
        <v>0.055</v>
      </c>
      <c r="D22" s="25">
        <f>B6*B22</f>
        <v>60</v>
      </c>
      <c r="E22" s="25">
        <f>B7*C22</f>
        <v>204.325</v>
      </c>
      <c r="F22" s="25">
        <f>D22+E22</f>
        <v>264.325</v>
      </c>
      <c r="G22" s="65">
        <v>48.37</v>
      </c>
      <c r="H22" s="65">
        <v>197.349</v>
      </c>
      <c r="I22" s="26">
        <f>G22+H22</f>
        <v>245.719</v>
      </c>
      <c r="J22" s="27">
        <f aca="true" t="shared" si="0" ref="J22:K24">IF(D22&gt;0,G22/D22,0)</f>
        <v>0.8061666666666666</v>
      </c>
      <c r="K22" s="27">
        <f t="shared" si="0"/>
        <v>0.965858313960602</v>
      </c>
      <c r="L22" s="28">
        <f>IF(I22&gt;0,I22/F22,0)</f>
        <v>0.9296093823891043</v>
      </c>
      <c r="M22" s="66">
        <f>2090.88+75444.62</f>
        <v>77535.5</v>
      </c>
      <c r="N22" s="29">
        <f>IF(I22&gt;0,M22/I22,0)</f>
        <v>315.5453994196623</v>
      </c>
    </row>
    <row r="23" spans="1:14" ht="12.75">
      <c r="A23" s="23" t="s">
        <v>7</v>
      </c>
      <c r="B23" s="63">
        <v>0.02</v>
      </c>
      <c r="C23" s="63">
        <v>0.024</v>
      </c>
      <c r="D23" s="25">
        <f>B6*B23</f>
        <v>24</v>
      </c>
      <c r="E23" s="25">
        <f>B7*C23</f>
        <v>89.16</v>
      </c>
      <c r="F23" s="25">
        <f aca="true" t="shared" si="1" ref="F23:F43">D23+E23</f>
        <v>113.16</v>
      </c>
      <c r="G23" s="65">
        <v>26.561</v>
      </c>
      <c r="H23" s="65">
        <v>89.01</v>
      </c>
      <c r="I23" s="26">
        <f aca="true" t="shared" si="2" ref="I23:I43">G23+H23</f>
        <v>115.571</v>
      </c>
      <c r="J23" s="27">
        <f t="shared" si="0"/>
        <v>1.1067083333333334</v>
      </c>
      <c r="K23" s="27">
        <f t="shared" si="0"/>
        <v>0.9983176312247646</v>
      </c>
      <c r="L23" s="28">
        <f aca="true" t="shared" si="3" ref="L23:L44">IF(F23&gt;0,I23/F23,0)</f>
        <v>1.0213061152350653</v>
      </c>
      <c r="M23" s="66">
        <v>30293.5</v>
      </c>
      <c r="N23" s="29">
        <f aca="true" t="shared" si="4" ref="N23:N43">IF(I23&gt;0,M23/I23,0)</f>
        <v>262.12025508129204</v>
      </c>
    </row>
    <row r="24" spans="1:14" ht="12.75">
      <c r="A24" s="23" t="s">
        <v>97</v>
      </c>
      <c r="B24" s="158">
        <v>0.02</v>
      </c>
      <c r="C24" s="63">
        <v>0.025</v>
      </c>
      <c r="D24" s="25">
        <f>B6*B24</f>
        <v>24</v>
      </c>
      <c r="E24" s="25">
        <f>B7*C24</f>
        <v>92.875</v>
      </c>
      <c r="F24" s="25">
        <f>D24+E24</f>
        <v>116.875</v>
      </c>
      <c r="G24" s="65">
        <v>17.386</v>
      </c>
      <c r="H24" s="65">
        <f>49.594+16.442</f>
        <v>66.036</v>
      </c>
      <c r="I24" s="26">
        <f>G24+H24</f>
        <v>83.422</v>
      </c>
      <c r="J24" s="27">
        <f t="shared" si="0"/>
        <v>0.7244166666666666</v>
      </c>
      <c r="K24" s="27">
        <f t="shared" si="0"/>
        <v>0.7110201884253028</v>
      </c>
      <c r="L24" s="28">
        <f>IF(F24&gt;0,I24/F24,0)</f>
        <v>0.7137711229946524</v>
      </c>
      <c r="M24" s="161">
        <f>18333.32+5808.65</f>
        <v>24141.97</v>
      </c>
      <c r="N24" s="29">
        <f>IF(I24&gt;0,M24/I24,0)</f>
        <v>289.3957229507804</v>
      </c>
    </row>
    <row r="25" spans="1:14" ht="12.75">
      <c r="A25" s="31" t="s">
        <v>8</v>
      </c>
      <c r="B25" s="24">
        <v>0.032</v>
      </c>
      <c r="C25" s="24">
        <v>0.037</v>
      </c>
      <c r="D25" s="25">
        <f>B6*B25</f>
        <v>38.4</v>
      </c>
      <c r="E25" s="25">
        <f>B7*C25</f>
        <v>137.45499999999998</v>
      </c>
      <c r="F25" s="25">
        <f t="shared" si="1"/>
        <v>175.855</v>
      </c>
      <c r="G25" s="65">
        <v>29.852</v>
      </c>
      <c r="H25" s="65">
        <v>110.107</v>
      </c>
      <c r="I25" s="26">
        <f t="shared" si="2"/>
        <v>139.959</v>
      </c>
      <c r="J25" s="27">
        <f aca="true" t="shared" si="5" ref="J25:J44">IF(D25&gt;0,G25/D25,0)</f>
        <v>0.7773958333333334</v>
      </c>
      <c r="K25" s="27">
        <f aca="true" t="shared" si="6" ref="K25:K45">IF(E25&gt;0,H25/E25,0)</f>
        <v>0.8010403404750647</v>
      </c>
      <c r="L25" s="28">
        <f t="shared" si="3"/>
        <v>0.7958772852634273</v>
      </c>
      <c r="M25" s="66">
        <f>23606.37+3954.7</f>
        <v>27561.07</v>
      </c>
      <c r="N25" s="29">
        <f t="shared" si="4"/>
        <v>196.9224558620739</v>
      </c>
    </row>
    <row r="26" spans="1:14" ht="12.75">
      <c r="A26" s="31" t="s">
        <v>35</v>
      </c>
      <c r="B26" s="24">
        <v>0.018</v>
      </c>
      <c r="C26" s="24">
        <v>0.021</v>
      </c>
      <c r="D26" s="25">
        <f>B6*B26</f>
        <v>21.599999999999998</v>
      </c>
      <c r="E26" s="25">
        <f>B7*C26</f>
        <v>78.015</v>
      </c>
      <c r="F26" s="25">
        <f t="shared" si="1"/>
        <v>99.615</v>
      </c>
      <c r="G26" s="65">
        <v>22.906</v>
      </c>
      <c r="H26" s="65">
        <v>78.952</v>
      </c>
      <c r="I26" s="26">
        <f t="shared" si="2"/>
        <v>101.858</v>
      </c>
      <c r="J26" s="27">
        <f t="shared" si="5"/>
        <v>1.060462962962963</v>
      </c>
      <c r="K26" s="27">
        <f t="shared" si="6"/>
        <v>1.0120105107992052</v>
      </c>
      <c r="L26" s="28">
        <f t="shared" si="3"/>
        <v>1.0225166892536266</v>
      </c>
      <c r="M26" s="66">
        <v>66772.02</v>
      </c>
      <c r="N26" s="29">
        <f t="shared" si="4"/>
        <v>655.5402619332797</v>
      </c>
    </row>
    <row r="27" spans="1:14" ht="12.75">
      <c r="A27" s="31" t="s">
        <v>36</v>
      </c>
      <c r="B27" s="24">
        <v>0.009</v>
      </c>
      <c r="C27" s="24">
        <v>0.011</v>
      </c>
      <c r="D27" s="25">
        <f>B6*B27</f>
        <v>10.799999999999999</v>
      </c>
      <c r="E27" s="25">
        <f>B7*C27</f>
        <v>40.864999999999995</v>
      </c>
      <c r="F27" s="25">
        <f t="shared" si="1"/>
        <v>51.66499999999999</v>
      </c>
      <c r="G27" s="65">
        <v>10.073</v>
      </c>
      <c r="H27" s="65">
        <v>42.257</v>
      </c>
      <c r="I27" s="26">
        <f t="shared" si="2"/>
        <v>52.33</v>
      </c>
      <c r="J27" s="27">
        <f t="shared" si="5"/>
        <v>0.9326851851851853</v>
      </c>
      <c r="K27" s="27">
        <f t="shared" si="6"/>
        <v>1.0340633794200418</v>
      </c>
      <c r="L27" s="28">
        <f t="shared" si="3"/>
        <v>1.012871382947837</v>
      </c>
      <c r="M27" s="66">
        <v>7224.86</v>
      </c>
      <c r="N27" s="29">
        <f t="shared" si="4"/>
        <v>138.06344353143513</v>
      </c>
    </row>
    <row r="28" spans="1:14" ht="12.75">
      <c r="A28" s="32" t="s">
        <v>9</v>
      </c>
      <c r="B28" s="24">
        <v>0.39</v>
      </c>
      <c r="C28" s="24">
        <v>0.45</v>
      </c>
      <c r="D28" s="25">
        <f>B6*B28</f>
        <v>468</v>
      </c>
      <c r="E28" s="25">
        <f>B7*C28</f>
        <v>1671.75</v>
      </c>
      <c r="F28" s="25">
        <f t="shared" si="1"/>
        <v>2139.75</v>
      </c>
      <c r="G28" s="65">
        <f>122.866+307.842+7.417</f>
        <v>438.12499999999994</v>
      </c>
      <c r="H28" s="65">
        <v>1480.523</v>
      </c>
      <c r="I28" s="26">
        <f t="shared" si="2"/>
        <v>1918.648</v>
      </c>
      <c r="J28" s="27">
        <f t="shared" si="5"/>
        <v>0.9361645299145298</v>
      </c>
      <c r="K28" s="27">
        <f t="shared" si="6"/>
        <v>0.8856126813219679</v>
      </c>
      <c r="L28" s="28">
        <f t="shared" si="3"/>
        <v>0.8966692370604042</v>
      </c>
      <c r="M28" s="66">
        <f>13450.5+86175.23+1595.71+19735.3</f>
        <v>120956.74</v>
      </c>
      <c r="N28" s="29">
        <f t="shared" si="4"/>
        <v>63.04269464748094</v>
      </c>
    </row>
    <row r="29" spans="1:14" ht="12.75">
      <c r="A29" s="31" t="s">
        <v>10</v>
      </c>
      <c r="B29" s="24">
        <v>0.03</v>
      </c>
      <c r="C29" s="24">
        <v>0.04</v>
      </c>
      <c r="D29" s="25">
        <f>B6*B29</f>
        <v>36</v>
      </c>
      <c r="E29" s="25">
        <f>B7*C29</f>
        <v>148.6</v>
      </c>
      <c r="F29" s="25">
        <f t="shared" si="1"/>
        <v>184.6</v>
      </c>
      <c r="G29" s="65">
        <v>38.194</v>
      </c>
      <c r="H29" s="65">
        <v>130.773</v>
      </c>
      <c r="I29" s="26">
        <f t="shared" si="2"/>
        <v>168.96699999999998</v>
      </c>
      <c r="J29" s="27">
        <f t="shared" si="5"/>
        <v>1.0609444444444445</v>
      </c>
      <c r="K29" s="27">
        <f t="shared" si="6"/>
        <v>0.8800336473755047</v>
      </c>
      <c r="L29" s="28">
        <f t="shared" si="3"/>
        <v>0.9153141928494041</v>
      </c>
      <c r="M29" s="66">
        <v>56608.2</v>
      </c>
      <c r="N29" s="29">
        <f t="shared" si="4"/>
        <v>335.02518243207254</v>
      </c>
    </row>
    <row r="30" spans="1:14" ht="12.75">
      <c r="A30" s="31" t="s">
        <v>11</v>
      </c>
      <c r="B30" s="24">
        <v>0.009</v>
      </c>
      <c r="C30" s="24">
        <v>0.011</v>
      </c>
      <c r="D30" s="25">
        <f>B6*B30</f>
        <v>10.799999999999999</v>
      </c>
      <c r="E30" s="25">
        <f>B7*C30</f>
        <v>40.864999999999995</v>
      </c>
      <c r="F30" s="25">
        <f t="shared" si="1"/>
        <v>51.66499999999999</v>
      </c>
      <c r="G30" s="65">
        <v>8.155</v>
      </c>
      <c r="H30" s="65">
        <v>31.969</v>
      </c>
      <c r="I30" s="26">
        <f t="shared" si="2"/>
        <v>40.124</v>
      </c>
      <c r="J30" s="27">
        <f t="shared" si="5"/>
        <v>0.7550925925925926</v>
      </c>
      <c r="K30" s="27">
        <f t="shared" si="6"/>
        <v>0.7823075981891595</v>
      </c>
      <c r="L30" s="28">
        <f t="shared" si="3"/>
        <v>0.7766186006000195</v>
      </c>
      <c r="M30" s="66">
        <v>7182.21</v>
      </c>
      <c r="N30" s="29">
        <f t="shared" si="4"/>
        <v>179.0003489183531</v>
      </c>
    </row>
    <row r="31" spans="1:14" ht="12.75">
      <c r="A31" s="31" t="s">
        <v>12</v>
      </c>
      <c r="B31" s="24">
        <v>0.004</v>
      </c>
      <c r="C31" s="24">
        <v>0.006</v>
      </c>
      <c r="D31" s="25">
        <f>B6*B31</f>
        <v>4.8</v>
      </c>
      <c r="E31" s="25">
        <f>B7*C31</f>
        <v>22.29</v>
      </c>
      <c r="F31" s="25">
        <f t="shared" si="1"/>
        <v>27.09</v>
      </c>
      <c r="G31" s="65">
        <v>3.83</v>
      </c>
      <c r="H31" s="65">
        <v>18.636</v>
      </c>
      <c r="I31" s="26">
        <f t="shared" si="2"/>
        <v>22.466</v>
      </c>
      <c r="J31" s="27">
        <f t="shared" si="5"/>
        <v>0.7979166666666667</v>
      </c>
      <c r="K31" s="27">
        <f t="shared" si="6"/>
        <v>0.8360699865410498</v>
      </c>
      <c r="L31" s="28">
        <f t="shared" si="3"/>
        <v>0.8293097083794758</v>
      </c>
      <c r="M31" s="66">
        <v>9495.6</v>
      </c>
      <c r="N31" s="29">
        <f t="shared" si="4"/>
        <v>422.6653609899403</v>
      </c>
    </row>
    <row r="32" spans="1:14" ht="12.75">
      <c r="A32" s="31" t="s">
        <v>13</v>
      </c>
      <c r="B32" s="24">
        <v>1</v>
      </c>
      <c r="C32" s="24">
        <v>1</v>
      </c>
      <c r="D32" s="25">
        <f>B6*B32</f>
        <v>1200</v>
      </c>
      <c r="E32" s="25">
        <f>B7*C32</f>
        <v>3715</v>
      </c>
      <c r="F32" s="25">
        <f t="shared" si="1"/>
        <v>4915</v>
      </c>
      <c r="G32" s="65">
        <v>1010.9</v>
      </c>
      <c r="H32" s="65">
        <v>3411.9</v>
      </c>
      <c r="I32" s="26">
        <f t="shared" si="2"/>
        <v>4422.8</v>
      </c>
      <c r="J32" s="27">
        <f t="shared" si="5"/>
        <v>0.8424166666666667</v>
      </c>
      <c r="K32" s="27">
        <f t="shared" si="6"/>
        <v>0.9184118438761777</v>
      </c>
      <c r="L32" s="28">
        <f t="shared" si="3"/>
        <v>0.8998575788402848</v>
      </c>
      <c r="M32" s="66">
        <v>33171</v>
      </c>
      <c r="N32" s="29">
        <f t="shared" si="4"/>
        <v>7.5</v>
      </c>
    </row>
    <row r="33" spans="1:14" ht="12.75">
      <c r="A33" s="31" t="s">
        <v>14</v>
      </c>
      <c r="B33" s="24">
        <v>0.025</v>
      </c>
      <c r="C33" s="24">
        <v>0.029</v>
      </c>
      <c r="D33" s="25">
        <f>B6*B33</f>
        <v>30</v>
      </c>
      <c r="E33" s="25">
        <f>B7*C33</f>
        <v>107.735</v>
      </c>
      <c r="F33" s="25">
        <f t="shared" si="1"/>
        <v>137.735</v>
      </c>
      <c r="G33" s="65">
        <v>29.137</v>
      </c>
      <c r="H33" s="65">
        <v>107.729</v>
      </c>
      <c r="I33" s="26">
        <f t="shared" si="2"/>
        <v>136.86599999999999</v>
      </c>
      <c r="J33" s="27">
        <f t="shared" si="5"/>
        <v>0.9712333333333334</v>
      </c>
      <c r="K33" s="27">
        <f t="shared" si="6"/>
        <v>0.9999443077922681</v>
      </c>
      <c r="L33" s="28">
        <f t="shared" si="3"/>
        <v>0.9936907830253746</v>
      </c>
      <c r="M33" s="66">
        <v>3899.96</v>
      </c>
      <c r="N33" s="29">
        <f t="shared" si="4"/>
        <v>28.494732073707134</v>
      </c>
    </row>
    <row r="34" spans="1:14" ht="12.75">
      <c r="A34" s="31" t="s">
        <v>15</v>
      </c>
      <c r="B34" s="24">
        <v>0.03</v>
      </c>
      <c r="C34" s="24">
        <v>0.043</v>
      </c>
      <c r="D34" s="25">
        <f>B6*B34</f>
        <v>36</v>
      </c>
      <c r="E34" s="25">
        <f>B7*C34</f>
        <v>159.74499999999998</v>
      </c>
      <c r="F34" s="25">
        <f t="shared" si="1"/>
        <v>195.74499999999998</v>
      </c>
      <c r="G34" s="65">
        <v>39.176</v>
      </c>
      <c r="H34" s="65">
        <v>151.765</v>
      </c>
      <c r="I34" s="26">
        <f t="shared" si="2"/>
        <v>190.94099999999997</v>
      </c>
      <c r="J34" s="27">
        <f t="shared" si="5"/>
        <v>1.0882222222222222</v>
      </c>
      <c r="K34" s="27">
        <f t="shared" si="6"/>
        <v>0.9500453848320761</v>
      </c>
      <c r="L34" s="28">
        <f t="shared" si="3"/>
        <v>0.9754578661013052</v>
      </c>
      <c r="M34" s="66">
        <f>487.78+712.61+1935.94+644.01+802.4+106.39+129.6+130.47+743.98+4350.15</f>
        <v>10043.33</v>
      </c>
      <c r="N34" s="29">
        <f t="shared" si="4"/>
        <v>52.59912747916896</v>
      </c>
    </row>
    <row r="35" spans="1:14" ht="12.75">
      <c r="A35" s="31" t="s">
        <v>16</v>
      </c>
      <c r="B35" s="24">
        <v>0.008</v>
      </c>
      <c r="C35" s="24">
        <v>0.012</v>
      </c>
      <c r="D35" s="25">
        <f>B6*B35</f>
        <v>9.6</v>
      </c>
      <c r="E35" s="25">
        <f>B7*C35</f>
        <v>44.58</v>
      </c>
      <c r="F35" s="25">
        <f t="shared" si="1"/>
        <v>54.18</v>
      </c>
      <c r="G35" s="65">
        <v>13.457</v>
      </c>
      <c r="H35" s="65">
        <v>49.092</v>
      </c>
      <c r="I35" s="26">
        <f t="shared" si="2"/>
        <v>62.549</v>
      </c>
      <c r="J35" s="27">
        <f t="shared" si="5"/>
        <v>1.4017708333333334</v>
      </c>
      <c r="K35" s="27">
        <f t="shared" si="6"/>
        <v>1.1012113055181696</v>
      </c>
      <c r="L35" s="28">
        <f t="shared" si="3"/>
        <v>1.154466592838686</v>
      </c>
      <c r="M35" s="66">
        <v>2588.01</v>
      </c>
      <c r="N35" s="29">
        <f t="shared" si="4"/>
        <v>41.37572143439544</v>
      </c>
    </row>
    <row r="36" spans="1:14" ht="12.75">
      <c r="A36" s="31" t="s">
        <v>17</v>
      </c>
      <c r="B36" s="24">
        <v>0.025</v>
      </c>
      <c r="C36" s="24">
        <v>0.03</v>
      </c>
      <c r="D36" s="25">
        <f>B6*B36</f>
        <v>30</v>
      </c>
      <c r="E36" s="25">
        <f>B7*C36</f>
        <v>111.45</v>
      </c>
      <c r="F36" s="25">
        <f t="shared" si="1"/>
        <v>141.45</v>
      </c>
      <c r="G36" s="65">
        <v>26.969</v>
      </c>
      <c r="H36" s="65">
        <v>103.095</v>
      </c>
      <c r="I36" s="26">
        <f t="shared" si="2"/>
        <v>130.064</v>
      </c>
      <c r="J36" s="27">
        <f t="shared" si="5"/>
        <v>0.8989666666666667</v>
      </c>
      <c r="K36" s="27">
        <f t="shared" si="6"/>
        <v>0.9250336473755046</v>
      </c>
      <c r="L36" s="28">
        <f t="shared" si="3"/>
        <v>0.9195051254860375</v>
      </c>
      <c r="M36" s="66">
        <v>8029.57</v>
      </c>
      <c r="N36" s="29">
        <f t="shared" si="4"/>
        <v>61.73553020051667</v>
      </c>
    </row>
    <row r="37" spans="1:14" ht="12.75">
      <c r="A37" s="31" t="s">
        <v>18</v>
      </c>
      <c r="B37" s="24">
        <v>0.012</v>
      </c>
      <c r="C37" s="24">
        <v>0.02</v>
      </c>
      <c r="D37" s="25">
        <f>B6*B37</f>
        <v>14.4</v>
      </c>
      <c r="E37" s="25">
        <f>B7*C37</f>
        <v>74.3</v>
      </c>
      <c r="F37" s="25">
        <f t="shared" si="1"/>
        <v>88.7</v>
      </c>
      <c r="G37" s="65">
        <v>13.306</v>
      </c>
      <c r="H37" s="65">
        <v>48.687</v>
      </c>
      <c r="I37" s="26">
        <f t="shared" si="2"/>
        <v>61.992999999999995</v>
      </c>
      <c r="J37" s="27">
        <f t="shared" si="5"/>
        <v>0.9240277777777777</v>
      </c>
      <c r="K37" s="27">
        <f t="shared" si="6"/>
        <v>0.6552759084791386</v>
      </c>
      <c r="L37" s="28">
        <f t="shared" si="3"/>
        <v>0.6989064261555805</v>
      </c>
      <c r="M37" s="66">
        <f>1494.9+5361.35</f>
        <v>6856.25</v>
      </c>
      <c r="N37" s="29">
        <f t="shared" si="4"/>
        <v>110.59716419595762</v>
      </c>
    </row>
    <row r="38" spans="1:14" ht="12.75">
      <c r="A38" s="31" t="s">
        <v>19</v>
      </c>
      <c r="B38" s="24">
        <v>0.009</v>
      </c>
      <c r="C38" s="24">
        <v>0.011</v>
      </c>
      <c r="D38" s="25">
        <f>B6*B38</f>
        <v>10.799999999999999</v>
      </c>
      <c r="E38" s="25">
        <f>B7*C38</f>
        <v>40.864999999999995</v>
      </c>
      <c r="F38" s="25">
        <f t="shared" si="1"/>
        <v>51.66499999999999</v>
      </c>
      <c r="G38" s="65">
        <v>9.61</v>
      </c>
      <c r="H38" s="65">
        <v>37.614</v>
      </c>
      <c r="I38" s="26">
        <f t="shared" si="2"/>
        <v>47.224</v>
      </c>
      <c r="J38" s="27">
        <f t="shared" si="5"/>
        <v>0.8898148148148148</v>
      </c>
      <c r="K38" s="27">
        <f t="shared" si="6"/>
        <v>0.9204453688975897</v>
      </c>
      <c r="L38" s="28">
        <f t="shared" si="3"/>
        <v>0.9140423884641441</v>
      </c>
      <c r="M38" s="66">
        <f>2797.87+3461.24</f>
        <v>6259.11</v>
      </c>
      <c r="N38" s="29">
        <f t="shared" si="4"/>
        <v>132.54086904963577</v>
      </c>
    </row>
    <row r="39" spans="1:14" ht="12.75">
      <c r="A39" s="31" t="s">
        <v>20</v>
      </c>
      <c r="B39" s="24">
        <v>0.095</v>
      </c>
      <c r="C39" s="24">
        <v>0.1</v>
      </c>
      <c r="D39" s="25">
        <f>B6*B39</f>
        <v>114</v>
      </c>
      <c r="E39" s="25">
        <f>B7*C39</f>
        <v>371.5</v>
      </c>
      <c r="F39" s="25">
        <f t="shared" si="1"/>
        <v>485.5</v>
      </c>
      <c r="G39" s="65">
        <f>8.736+116.2</f>
        <v>124.936</v>
      </c>
      <c r="H39" s="65">
        <f>31.514+367.29</f>
        <v>398.80400000000003</v>
      </c>
      <c r="I39" s="26">
        <f t="shared" si="2"/>
        <v>523.74</v>
      </c>
      <c r="J39" s="27">
        <f t="shared" si="5"/>
        <v>1.0959298245614035</v>
      </c>
      <c r="K39" s="27">
        <f t="shared" si="6"/>
        <v>1.0734966352624495</v>
      </c>
      <c r="L39" s="28">
        <f t="shared" si="3"/>
        <v>1.0787641606591143</v>
      </c>
      <c r="M39" s="66">
        <f>8012.72+28251.94</f>
        <v>36264.659999999996</v>
      </c>
      <c r="N39" s="29">
        <f t="shared" si="4"/>
        <v>69.24172299232443</v>
      </c>
    </row>
    <row r="40" spans="1:14" ht="12.75">
      <c r="A40" s="31" t="s">
        <v>21</v>
      </c>
      <c r="B40" s="24">
        <v>0.1</v>
      </c>
      <c r="C40" s="24">
        <v>0.1</v>
      </c>
      <c r="D40" s="25">
        <f>B6*B40</f>
        <v>120</v>
      </c>
      <c r="E40" s="25">
        <f>B7*C40</f>
        <v>371.5</v>
      </c>
      <c r="F40" s="25">
        <f t="shared" si="1"/>
        <v>491.5</v>
      </c>
      <c r="G40" s="65">
        <v>93.8</v>
      </c>
      <c r="H40" s="65">
        <v>342</v>
      </c>
      <c r="I40" s="26">
        <f t="shared" si="2"/>
        <v>435.8</v>
      </c>
      <c r="J40" s="27">
        <f t="shared" si="5"/>
        <v>0.7816666666666666</v>
      </c>
      <c r="K40" s="27">
        <f t="shared" si="6"/>
        <v>0.9205921938088829</v>
      </c>
      <c r="L40" s="28">
        <f t="shared" si="3"/>
        <v>0.8866734486266531</v>
      </c>
      <c r="M40" s="66">
        <f>14731.32+7483.37</f>
        <v>22214.69</v>
      </c>
      <c r="N40" s="29">
        <f t="shared" si="4"/>
        <v>50.97450665442863</v>
      </c>
    </row>
    <row r="41" spans="1:14" ht="12.75">
      <c r="A41" s="31" t="s">
        <v>22</v>
      </c>
      <c r="B41" s="63">
        <v>0.12</v>
      </c>
      <c r="C41" s="63">
        <v>0.14</v>
      </c>
      <c r="D41" s="25">
        <f>B6*B41</f>
        <v>144</v>
      </c>
      <c r="E41" s="25">
        <f>B7*C41</f>
        <v>520.1</v>
      </c>
      <c r="F41" s="25">
        <f t="shared" si="1"/>
        <v>664.1</v>
      </c>
      <c r="G41" s="65">
        <v>125.611</v>
      </c>
      <c r="H41" s="65">
        <v>481.159</v>
      </c>
      <c r="I41" s="26">
        <f t="shared" si="2"/>
        <v>606.77</v>
      </c>
      <c r="J41" s="27">
        <f t="shared" si="5"/>
        <v>0.8722986111111112</v>
      </c>
      <c r="K41" s="27">
        <f t="shared" si="6"/>
        <v>0.9251278600269178</v>
      </c>
      <c r="L41" s="28">
        <f t="shared" si="3"/>
        <v>0.9136726396627013</v>
      </c>
      <c r="M41" s="66">
        <v>17736.49</v>
      </c>
      <c r="N41" s="29">
        <f t="shared" si="4"/>
        <v>29.230993621965492</v>
      </c>
    </row>
    <row r="42" spans="1:14" ht="12.75">
      <c r="A42" s="31" t="s">
        <v>23</v>
      </c>
      <c r="B42" s="24">
        <v>0.18</v>
      </c>
      <c r="C42" s="24">
        <v>0.22</v>
      </c>
      <c r="D42" s="25">
        <f>B6*B42</f>
        <v>216</v>
      </c>
      <c r="E42" s="25">
        <f>B7*C42</f>
        <v>817.3</v>
      </c>
      <c r="F42" s="25">
        <f t="shared" si="1"/>
        <v>1033.3</v>
      </c>
      <c r="G42" s="65">
        <v>169.847</v>
      </c>
      <c r="H42" s="65">
        <v>690.033</v>
      </c>
      <c r="I42" s="26">
        <f t="shared" si="2"/>
        <v>859.88</v>
      </c>
      <c r="J42" s="27">
        <f t="shared" si="5"/>
        <v>0.7863287037037038</v>
      </c>
      <c r="K42" s="27">
        <f t="shared" si="6"/>
        <v>0.8442836167869816</v>
      </c>
      <c r="L42" s="28">
        <f t="shared" si="3"/>
        <v>0.8321687796380529</v>
      </c>
      <c r="M42" s="66">
        <f>2279.1+7014.56+4512.21+5861.37+515.87+417.69+2334.86+2786.57+2287</f>
        <v>28009.229999999996</v>
      </c>
      <c r="N42" s="29">
        <f t="shared" si="4"/>
        <v>32.57341722100758</v>
      </c>
    </row>
    <row r="43" spans="1:14" ht="12.75">
      <c r="A43" s="31" t="s">
        <v>24</v>
      </c>
      <c r="B43" s="24">
        <v>0.04</v>
      </c>
      <c r="C43" s="24">
        <v>0.05</v>
      </c>
      <c r="D43" s="25">
        <f>B6*B43</f>
        <v>48</v>
      </c>
      <c r="E43" s="25">
        <f>B7*C43</f>
        <v>185.75</v>
      </c>
      <c r="F43" s="25">
        <f t="shared" si="1"/>
        <v>233.75</v>
      </c>
      <c r="G43" s="65">
        <v>47.645</v>
      </c>
      <c r="H43" s="65">
        <v>168.153</v>
      </c>
      <c r="I43" s="26">
        <f t="shared" si="2"/>
        <v>215.798</v>
      </c>
      <c r="J43" s="27">
        <f t="shared" si="5"/>
        <v>0.9926041666666667</v>
      </c>
      <c r="K43" s="27">
        <f t="shared" si="6"/>
        <v>0.9052651413189771</v>
      </c>
      <c r="L43" s="28">
        <f t="shared" si="3"/>
        <v>0.9232</v>
      </c>
      <c r="M43" s="66">
        <v>10430.19</v>
      </c>
      <c r="N43" s="29">
        <f t="shared" si="4"/>
        <v>48.33311708171531</v>
      </c>
    </row>
    <row r="44" spans="1:14" ht="12.75">
      <c r="A44" s="32" t="s">
        <v>25</v>
      </c>
      <c r="B44" s="64">
        <v>0.06</v>
      </c>
      <c r="C44" s="64">
        <v>0.08</v>
      </c>
      <c r="D44" s="25">
        <f>B6*B44</f>
        <v>72</v>
      </c>
      <c r="E44" s="25">
        <f>B7*C44</f>
        <v>297.2</v>
      </c>
      <c r="F44" s="25">
        <f>D44+E44</f>
        <v>369.2</v>
      </c>
      <c r="G44" s="65">
        <f>35.54+30.588</f>
        <v>66.128</v>
      </c>
      <c r="H44" s="65">
        <v>251.8</v>
      </c>
      <c r="I44" s="26">
        <f>G44+H44</f>
        <v>317.928</v>
      </c>
      <c r="J44" s="27">
        <f t="shared" si="5"/>
        <v>0.9184444444444444</v>
      </c>
      <c r="K44" s="27">
        <f t="shared" si="6"/>
        <v>0.8472409152086138</v>
      </c>
      <c r="L44" s="28">
        <f t="shared" si="3"/>
        <v>0.8611267605633803</v>
      </c>
      <c r="M44" s="66">
        <f>8371.73+11164.11</f>
        <v>19535.84</v>
      </c>
      <c r="N44" s="29">
        <f>IF(I44&gt;0,M44/I44,0)</f>
        <v>61.44737173196447</v>
      </c>
    </row>
    <row r="45" spans="1:14" s="20" customFormat="1" ht="12.75">
      <c r="A45" s="44" t="s">
        <v>54</v>
      </c>
      <c r="B45" s="45"/>
      <c r="C45" s="45"/>
      <c r="D45" s="46">
        <f>SUM(D22:D44)</f>
        <v>2743.2</v>
      </c>
      <c r="E45" s="46">
        <f>SUM(E22:E44)</f>
        <v>9343.225</v>
      </c>
      <c r="F45" s="46">
        <f>D45+E45</f>
        <v>12086.425</v>
      </c>
      <c r="G45" s="56">
        <f>SUM(G22:G44)</f>
        <v>2413.974</v>
      </c>
      <c r="H45" s="56">
        <f>SUM(H22:H44)</f>
        <v>8487.443</v>
      </c>
      <c r="I45" s="47">
        <f>G45+H45</f>
        <v>10901.417</v>
      </c>
      <c r="J45" s="59">
        <f>IF(G45&gt;0,G45/D45,0)</f>
        <v>0.8799846894138234</v>
      </c>
      <c r="K45" s="59">
        <f t="shared" si="6"/>
        <v>0.9084061445592928</v>
      </c>
      <c r="L45" s="59">
        <f>IF(F45&gt;0,I45/F45,0)</f>
        <v>0.901955458293085</v>
      </c>
      <c r="M45" s="57">
        <f>SUM(SUM(M22:M44))</f>
        <v>632809.9999999999</v>
      </c>
      <c r="N45" s="60"/>
    </row>
    <row r="46" ht="13.5" thickBot="1"/>
    <row r="47" spans="1:14" s="37" customFormat="1" ht="21" customHeight="1" thickBot="1">
      <c r="A47" s="33" t="s">
        <v>48</v>
      </c>
      <c r="B47" s="34">
        <f>SUM(B22:B24)</f>
        <v>0.09000000000000001</v>
      </c>
      <c r="C47" s="34">
        <f>SUM(C22:C24)</f>
        <v>0.10400000000000001</v>
      </c>
      <c r="D47" s="35">
        <f aca="true" t="shared" si="7" ref="D47:I47">SUM(D22:D24)</f>
        <v>108</v>
      </c>
      <c r="E47" s="35">
        <f t="shared" si="7"/>
        <v>386.36</v>
      </c>
      <c r="F47" s="35">
        <f t="shared" si="7"/>
        <v>494.36</v>
      </c>
      <c r="G47" s="35">
        <f t="shared" si="7"/>
        <v>92.317</v>
      </c>
      <c r="H47" s="35">
        <f t="shared" si="7"/>
        <v>352.395</v>
      </c>
      <c r="I47" s="35">
        <f t="shared" si="7"/>
        <v>444.712</v>
      </c>
      <c r="J47" s="61">
        <f>IF(G47=0,0,G47/D47)</f>
        <v>0.854787037037037</v>
      </c>
      <c r="K47" s="61">
        <f>IF(H47=0,0,H47/E47)</f>
        <v>0.9120897608448079</v>
      </c>
      <c r="L47" s="61">
        <f>IF(I47&gt;0,I47/F47,0)</f>
        <v>0.89957116271543</v>
      </c>
      <c r="M47" s="58">
        <f>SUM(M22:M24)</f>
        <v>131970.97</v>
      </c>
      <c r="N47" s="36">
        <f>IF(M47=0,0,M47/I47)</f>
        <v>296.7560353667092</v>
      </c>
    </row>
  </sheetData>
  <sheetProtection password="CC53" sheet="1" formatCells="0" formatColumns="0" formatRows="0" insertColumns="0" insertRows="0" insertHyperlinks="0" deleteColumns="0" deleteRows="0" sort="0" autoFilter="0" pivotTables="0"/>
  <mergeCells count="19">
    <mergeCell ref="A1:G1"/>
    <mergeCell ref="J20:L20"/>
    <mergeCell ref="M20:M21"/>
    <mergeCell ref="L14:M14"/>
    <mergeCell ref="L15:M15"/>
    <mergeCell ref="L16:M16"/>
    <mergeCell ref="C8:C10"/>
    <mergeCell ref="D8:F10"/>
    <mergeCell ref="A11:B11"/>
    <mergeCell ref="E2:G2"/>
    <mergeCell ref="N20:N21"/>
    <mergeCell ref="L13:N13"/>
    <mergeCell ref="G20:I20"/>
    <mergeCell ref="A20:A21"/>
    <mergeCell ref="B20:C20"/>
    <mergeCell ref="D20:F20"/>
    <mergeCell ref="L17:M17"/>
    <mergeCell ref="A15:B15"/>
    <mergeCell ref="A19:N19"/>
  </mergeCells>
  <printOptions horizontalCentered="1"/>
  <pageMargins left="0.31496062992125984" right="0.31496062992125984" top="0.9448818897637796" bottom="0.35433070866141736" header="0" footer="0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B13" sqref="B13"/>
    </sheetView>
  </sheetViews>
  <sheetFormatPr defaultColWidth="9.125" defaultRowHeight="12.75"/>
  <cols>
    <col min="1" max="1" width="32.625" style="67" customWidth="1"/>
    <col min="2" max="2" width="13.50390625" style="67" customWidth="1"/>
    <col min="3" max="3" width="12.125" style="67" customWidth="1"/>
    <col min="4" max="12" width="11.375" style="67" customWidth="1"/>
    <col min="13" max="13" width="12.50390625" style="67" customWidth="1"/>
    <col min="14" max="14" width="11.375" style="67" customWidth="1"/>
    <col min="15" max="15" width="10.50390625" style="67" customWidth="1"/>
    <col min="16" max="16384" width="9.125" style="67" customWidth="1"/>
  </cols>
  <sheetData>
    <row r="1" spans="1:14" s="2" customFormat="1" ht="24" customHeight="1">
      <c r="A1" s="171" t="s">
        <v>78</v>
      </c>
      <c r="B1" s="171"/>
      <c r="C1" s="171"/>
      <c r="D1" s="171"/>
      <c r="E1" s="171"/>
      <c r="F1" s="171"/>
      <c r="G1" s="171"/>
      <c r="H1" s="119">
        <f>янв!H1</f>
        <v>2023</v>
      </c>
      <c r="I1" s="1" t="s">
        <v>75</v>
      </c>
      <c r="J1" s="1"/>
      <c r="K1" s="1"/>
      <c r="L1" s="1"/>
      <c r="M1" s="1"/>
      <c r="N1" s="1"/>
    </row>
    <row r="2" spans="1:7" ht="12.75">
      <c r="A2" s="68" t="s">
        <v>26</v>
      </c>
      <c r="B2" s="157" t="s">
        <v>98</v>
      </c>
      <c r="E2" s="190" t="s">
        <v>55</v>
      </c>
      <c r="F2" s="190"/>
      <c r="G2" s="190"/>
    </row>
    <row r="3" spans="1:2" ht="12.75">
      <c r="A3" s="68" t="s">
        <v>0</v>
      </c>
      <c r="B3" s="38" t="s">
        <v>99</v>
      </c>
    </row>
    <row r="4" spans="1:2" ht="12.75">
      <c r="A4" s="69" t="s">
        <v>30</v>
      </c>
      <c r="B4" s="38">
        <v>448</v>
      </c>
    </row>
    <row r="5" spans="1:2" ht="12.75">
      <c r="A5" s="70" t="s">
        <v>28</v>
      </c>
      <c r="B5" s="148">
        <f>B6+B7</f>
        <v>6569</v>
      </c>
    </row>
    <row r="6" spans="1:2" ht="12.75">
      <c r="A6" s="71" t="s">
        <v>27</v>
      </c>
      <c r="B6" s="149">
        <v>1658</v>
      </c>
    </row>
    <row r="7" spans="1:2" ht="13.5" thickBot="1">
      <c r="A7" s="72" t="s">
        <v>29</v>
      </c>
      <c r="B7" s="150">
        <f>4933-22</f>
        <v>4911</v>
      </c>
    </row>
    <row r="8" spans="1:6" ht="12.75">
      <c r="A8" s="73" t="s">
        <v>31</v>
      </c>
      <c r="B8" s="136">
        <v>878055.93</v>
      </c>
      <c r="C8" s="188"/>
      <c r="D8" s="189"/>
      <c r="E8" s="190"/>
      <c r="F8" s="190"/>
    </row>
    <row r="9" spans="1:6" ht="12.75">
      <c r="A9" s="74" t="s">
        <v>32</v>
      </c>
      <c r="B9" s="137">
        <f>M45</f>
        <v>872115.27</v>
      </c>
      <c r="C9" s="188"/>
      <c r="D9" s="189"/>
      <c r="E9" s="190"/>
      <c r="F9" s="190"/>
    </row>
    <row r="10" spans="1:6" ht="13.5" thickBot="1">
      <c r="A10" s="75" t="s">
        <v>33</v>
      </c>
      <c r="B10" s="138">
        <f>B8-B9</f>
        <v>5940.660000000033</v>
      </c>
      <c r="C10" s="188"/>
      <c r="D10" s="189"/>
      <c r="E10" s="190"/>
      <c r="F10" s="190"/>
    </row>
    <row r="11" spans="1:3" ht="12.75">
      <c r="A11" s="191" t="s">
        <v>40</v>
      </c>
      <c r="B11" s="191"/>
      <c r="C11" s="76"/>
    </row>
    <row r="12" spans="1:3" ht="12.75">
      <c r="A12" s="68" t="s">
        <v>34</v>
      </c>
      <c r="B12" s="77">
        <v>131</v>
      </c>
      <c r="C12" s="76"/>
    </row>
    <row r="13" spans="1:14" ht="12.75" customHeight="1">
      <c r="A13" s="68" t="s">
        <v>2</v>
      </c>
      <c r="B13" s="139">
        <f>IF(M45&gt;0,B8/B5,0)</f>
        <v>133.66660526716396</v>
      </c>
      <c r="C13" s="76"/>
      <c r="L13" s="193" t="s">
        <v>49</v>
      </c>
      <c r="M13" s="193"/>
      <c r="N13" s="193"/>
    </row>
    <row r="14" spans="1:14" ht="12.75">
      <c r="A14" s="78" t="s">
        <v>3</v>
      </c>
      <c r="B14" s="79">
        <f>B13/B12</f>
        <v>1.020355765398198</v>
      </c>
      <c r="E14" s="80"/>
      <c r="L14" s="194" t="s">
        <v>50</v>
      </c>
      <c r="M14" s="194"/>
      <c r="N14" s="81">
        <v>2</v>
      </c>
    </row>
    <row r="15" spans="1:14" ht="12.75">
      <c r="A15" s="192" t="s">
        <v>41</v>
      </c>
      <c r="B15" s="192"/>
      <c r="C15" s="76"/>
      <c r="E15" s="82"/>
      <c r="L15" s="194" t="s">
        <v>53</v>
      </c>
      <c r="M15" s="194"/>
      <c r="N15" s="81">
        <v>1.25</v>
      </c>
    </row>
    <row r="16" spans="1:14" ht="12.75">
      <c r="A16" s="68" t="s">
        <v>42</v>
      </c>
      <c r="B16" s="83">
        <f>J45</f>
        <v>0.9076544488030674</v>
      </c>
      <c r="C16" s="76"/>
      <c r="L16" s="194" t="s">
        <v>52</v>
      </c>
      <c r="M16" s="194"/>
      <c r="N16" s="81">
        <v>2.63</v>
      </c>
    </row>
    <row r="17" spans="1:14" ht="13.5" thickBot="1">
      <c r="A17" s="68" t="s">
        <v>43</v>
      </c>
      <c r="B17" s="84">
        <f>K45</f>
        <v>0.9223241694204556</v>
      </c>
      <c r="C17" s="76"/>
      <c r="L17" s="194" t="s">
        <v>51</v>
      </c>
      <c r="M17" s="194"/>
      <c r="N17" s="81">
        <v>8.33</v>
      </c>
    </row>
    <row r="18" spans="1:3" ht="18" thickBot="1">
      <c r="A18" s="85" t="s">
        <v>44</v>
      </c>
      <c r="B18" s="86">
        <f>L45</f>
        <v>0.918879538784636</v>
      </c>
      <c r="C18" s="76"/>
    </row>
    <row r="19" spans="1:14" ht="18.75" customHeight="1">
      <c r="A19" s="201" t="s">
        <v>1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</row>
    <row r="20" spans="1:14" s="88" customFormat="1" ht="39" customHeight="1">
      <c r="A20" s="203"/>
      <c r="B20" s="199" t="s">
        <v>37</v>
      </c>
      <c r="C20" s="199"/>
      <c r="D20" s="200" t="s">
        <v>38</v>
      </c>
      <c r="E20" s="200"/>
      <c r="F20" s="199"/>
      <c r="G20" s="200" t="s">
        <v>39</v>
      </c>
      <c r="H20" s="199"/>
      <c r="I20" s="199"/>
      <c r="J20" s="195" t="s">
        <v>4</v>
      </c>
      <c r="K20" s="196"/>
      <c r="L20" s="196"/>
      <c r="M20" s="197" t="s">
        <v>46</v>
      </c>
      <c r="N20" s="197" t="s">
        <v>47</v>
      </c>
    </row>
    <row r="21" spans="1:14" s="88" customFormat="1" ht="12.75">
      <c r="A21" s="203"/>
      <c r="B21" s="87" t="s">
        <v>27</v>
      </c>
      <c r="C21" s="87" t="s">
        <v>29</v>
      </c>
      <c r="D21" s="89" t="s">
        <v>27</v>
      </c>
      <c r="E21" s="89" t="s">
        <v>29</v>
      </c>
      <c r="F21" s="89" t="s">
        <v>5</v>
      </c>
      <c r="G21" s="89" t="s">
        <v>27</v>
      </c>
      <c r="H21" s="89" t="s">
        <v>29</v>
      </c>
      <c r="I21" s="89" t="s">
        <v>5</v>
      </c>
      <c r="J21" s="89" t="s">
        <v>27</v>
      </c>
      <c r="K21" s="89" t="s">
        <v>29</v>
      </c>
      <c r="L21" s="90" t="s">
        <v>45</v>
      </c>
      <c r="M21" s="198"/>
      <c r="N21" s="198"/>
    </row>
    <row r="22" spans="1:14" ht="12.75">
      <c r="A22" s="23" t="s">
        <v>6</v>
      </c>
      <c r="B22" s="63">
        <v>0.05</v>
      </c>
      <c r="C22" s="63">
        <v>0.055</v>
      </c>
      <c r="D22" s="91">
        <f>B6*B22</f>
        <v>82.9</v>
      </c>
      <c r="E22" s="91">
        <f>B7*C22</f>
        <v>270.105</v>
      </c>
      <c r="F22" s="91">
        <f>D22+E22</f>
        <v>353.005</v>
      </c>
      <c r="G22" s="65">
        <v>72.427</v>
      </c>
      <c r="H22" s="65">
        <v>266.811</v>
      </c>
      <c r="I22" s="92">
        <f>G22+H22</f>
        <v>339.238</v>
      </c>
      <c r="J22" s="93">
        <f>IF(D22&gt;0,G22/D22,0)</f>
        <v>0.8736670687575392</v>
      </c>
      <c r="K22" s="93">
        <f>IF(E22&gt;0,H22/E22,0)</f>
        <v>0.9878047426000998</v>
      </c>
      <c r="L22" s="94">
        <f>IF(F22&gt;0,I22/F22,0)</f>
        <v>0.9610005524001076</v>
      </c>
      <c r="M22" s="66">
        <f>2678.94+104263.43</f>
        <v>106942.37</v>
      </c>
      <c r="N22" s="95">
        <f>IF(I22&gt;0,M22/I22,0)</f>
        <v>315.24289731692795</v>
      </c>
    </row>
    <row r="23" spans="1:14" ht="12.75">
      <c r="A23" s="23" t="s">
        <v>7</v>
      </c>
      <c r="B23" s="63">
        <v>0.02</v>
      </c>
      <c r="C23" s="63">
        <v>0.024</v>
      </c>
      <c r="D23" s="91">
        <f>B6*B23</f>
        <v>33.160000000000004</v>
      </c>
      <c r="E23" s="91">
        <f>B7*C23</f>
        <v>117.864</v>
      </c>
      <c r="F23" s="91">
        <f aca="true" t="shared" si="0" ref="F23:F43">D23+E23</f>
        <v>151.024</v>
      </c>
      <c r="G23" s="65">
        <v>38.451</v>
      </c>
      <c r="H23" s="65">
        <v>134.899</v>
      </c>
      <c r="I23" s="92">
        <f aca="true" t="shared" si="1" ref="I23:I43">G23+H23</f>
        <v>173.35</v>
      </c>
      <c r="J23" s="93">
        <f>IF(D23&gt;0,G23/D23,0)</f>
        <v>1.1595597104945716</v>
      </c>
      <c r="K23" s="93">
        <f aca="true" t="shared" si="2" ref="J23:L44">IF(E23&gt;0,H23/E23,0)</f>
        <v>1.144530984863911</v>
      </c>
      <c r="L23" s="94">
        <f t="shared" si="2"/>
        <v>1.147830808348342</v>
      </c>
      <c r="M23" s="66">
        <v>45438.62</v>
      </c>
      <c r="N23" s="95">
        <f aca="true" t="shared" si="3" ref="N23:N43">IF(I23&gt;0,M23/I23,0)</f>
        <v>262.12068070377853</v>
      </c>
    </row>
    <row r="24" spans="1:14" ht="12.75">
      <c r="A24" s="23" t="s">
        <v>97</v>
      </c>
      <c r="B24" s="158">
        <v>0.02</v>
      </c>
      <c r="C24" s="63">
        <v>0.025</v>
      </c>
      <c r="D24" s="91">
        <f>B6*B24</f>
        <v>33.160000000000004</v>
      </c>
      <c r="E24" s="91">
        <f>B7*C24</f>
        <v>122.775</v>
      </c>
      <c r="F24" s="91">
        <f>D24+E24</f>
        <v>155.935</v>
      </c>
      <c r="G24" s="65">
        <v>30.427</v>
      </c>
      <c r="H24" s="65">
        <v>112.801</v>
      </c>
      <c r="I24" s="92">
        <f>G24+H24</f>
        <v>143.228</v>
      </c>
      <c r="J24" s="93">
        <f>IF(D24&gt;0,G24/D24,0)</f>
        <v>0.9175814234016887</v>
      </c>
      <c r="K24" s="93">
        <f>IF(E24&gt;0,H24/E24,0)</f>
        <v>0.918761962940338</v>
      </c>
      <c r="L24" s="94">
        <f>IF(F24&gt;0,I24/F24,0)</f>
        <v>0.9185109180107096</v>
      </c>
      <c r="M24" s="66">
        <f>7144.33+33382.57</f>
        <v>40526.9</v>
      </c>
      <c r="N24" s="95">
        <f>IF(I24&gt;0,M24/I24,0)</f>
        <v>282.95375205965314</v>
      </c>
    </row>
    <row r="25" spans="1:14" ht="12.75">
      <c r="A25" s="31" t="s">
        <v>8</v>
      </c>
      <c r="B25" s="24">
        <v>0.032</v>
      </c>
      <c r="C25" s="24">
        <v>0.037</v>
      </c>
      <c r="D25" s="91">
        <f>B6*B25</f>
        <v>53.056000000000004</v>
      </c>
      <c r="E25" s="91">
        <f>B7*C25</f>
        <v>181.707</v>
      </c>
      <c r="F25" s="91">
        <f t="shared" si="0"/>
        <v>234.763</v>
      </c>
      <c r="G25" s="65">
        <v>40.279</v>
      </c>
      <c r="H25" s="65">
        <v>136.846</v>
      </c>
      <c r="I25" s="92">
        <f t="shared" si="1"/>
        <v>177.125</v>
      </c>
      <c r="J25" s="93">
        <f t="shared" si="2"/>
        <v>0.7591789806996381</v>
      </c>
      <c r="K25" s="93">
        <f t="shared" si="2"/>
        <v>0.7531135289229364</v>
      </c>
      <c r="L25" s="94">
        <f t="shared" si="2"/>
        <v>0.7544843097080886</v>
      </c>
      <c r="M25" s="66">
        <f>34254.46+2241.62</f>
        <v>36496.08</v>
      </c>
      <c r="N25" s="95">
        <f t="shared" si="3"/>
        <v>206.0470289343684</v>
      </c>
    </row>
    <row r="26" spans="1:14" ht="12.75">
      <c r="A26" s="31" t="s">
        <v>35</v>
      </c>
      <c r="B26" s="24">
        <v>0.018</v>
      </c>
      <c r="C26" s="24">
        <v>0.021</v>
      </c>
      <c r="D26" s="91">
        <f>B6*B26</f>
        <v>29.843999999999998</v>
      </c>
      <c r="E26" s="91">
        <f>B7*C26</f>
        <v>103.131</v>
      </c>
      <c r="F26" s="91">
        <f t="shared" si="0"/>
        <v>132.975</v>
      </c>
      <c r="G26" s="65">
        <v>31.509</v>
      </c>
      <c r="H26" s="65">
        <v>104.88</v>
      </c>
      <c r="I26" s="92">
        <f t="shared" si="1"/>
        <v>136.389</v>
      </c>
      <c r="J26" s="93">
        <f t="shared" si="2"/>
        <v>1.0557901085645356</v>
      </c>
      <c r="K26" s="93">
        <f t="shared" si="2"/>
        <v>1.016959013293772</v>
      </c>
      <c r="L26" s="94">
        <f t="shared" si="2"/>
        <v>1.0256739988719685</v>
      </c>
      <c r="M26" s="66">
        <v>89410.2</v>
      </c>
      <c r="N26" s="95">
        <f t="shared" si="3"/>
        <v>655.552867166707</v>
      </c>
    </row>
    <row r="27" spans="1:14" ht="12.75">
      <c r="A27" s="31" t="s">
        <v>36</v>
      </c>
      <c r="B27" s="24">
        <v>0.009</v>
      </c>
      <c r="C27" s="24">
        <v>0.011</v>
      </c>
      <c r="D27" s="91">
        <f>B6*B27</f>
        <v>14.921999999999999</v>
      </c>
      <c r="E27" s="91">
        <f>B7*C27</f>
        <v>54.020999999999994</v>
      </c>
      <c r="F27" s="91">
        <f t="shared" si="0"/>
        <v>68.943</v>
      </c>
      <c r="G27" s="65">
        <v>13.741</v>
      </c>
      <c r="H27" s="65">
        <v>57.003</v>
      </c>
      <c r="I27" s="92">
        <f t="shared" si="1"/>
        <v>70.744</v>
      </c>
      <c r="J27" s="93">
        <f t="shared" si="2"/>
        <v>0.9208551132555958</v>
      </c>
      <c r="K27" s="93">
        <f t="shared" si="2"/>
        <v>1.0552007552618428</v>
      </c>
      <c r="L27" s="94">
        <f t="shared" si="2"/>
        <v>1.0261230291690238</v>
      </c>
      <c r="M27" s="66">
        <v>9351.02</v>
      </c>
      <c r="N27" s="95">
        <f t="shared" si="3"/>
        <v>132.18110369784011</v>
      </c>
    </row>
    <row r="28" spans="1:14" ht="12.75">
      <c r="A28" s="32" t="s">
        <v>9</v>
      </c>
      <c r="B28" s="24">
        <v>0.39</v>
      </c>
      <c r="C28" s="24">
        <v>0.45</v>
      </c>
      <c r="D28" s="91">
        <f>B6*B28</f>
        <v>646.62</v>
      </c>
      <c r="E28" s="91">
        <f>B7*C28</f>
        <v>2209.9500000000003</v>
      </c>
      <c r="F28" s="91">
        <f t="shared" si="0"/>
        <v>2856.57</v>
      </c>
      <c r="G28" s="65">
        <v>591.283</v>
      </c>
      <c r="H28" s="65">
        <v>1984.49</v>
      </c>
      <c r="I28" s="92">
        <f t="shared" si="1"/>
        <v>2575.773</v>
      </c>
      <c r="J28" s="93">
        <f t="shared" si="2"/>
        <v>0.9144211437938821</v>
      </c>
      <c r="K28" s="93">
        <f t="shared" si="2"/>
        <v>0.8979795922984681</v>
      </c>
      <c r="L28" s="94">
        <f t="shared" si="2"/>
        <v>0.9017013411188943</v>
      </c>
      <c r="M28" s="66">
        <f>20286+114415.99+3632.15+23772.8</f>
        <v>162106.93999999997</v>
      </c>
      <c r="N28" s="95">
        <f t="shared" si="3"/>
        <v>62.935258658274606</v>
      </c>
    </row>
    <row r="29" spans="1:14" ht="12.75">
      <c r="A29" s="31" t="s">
        <v>10</v>
      </c>
      <c r="B29" s="24">
        <v>0.03</v>
      </c>
      <c r="C29" s="24">
        <v>0.04</v>
      </c>
      <c r="D29" s="91">
        <f>B6*B29</f>
        <v>49.739999999999995</v>
      </c>
      <c r="E29" s="91">
        <f>B7*C29</f>
        <v>196.44</v>
      </c>
      <c r="F29" s="91">
        <f t="shared" si="0"/>
        <v>246.18</v>
      </c>
      <c r="G29" s="65">
        <v>47.317</v>
      </c>
      <c r="H29" s="65">
        <v>179.804</v>
      </c>
      <c r="I29" s="92">
        <f t="shared" si="1"/>
        <v>227.121</v>
      </c>
      <c r="J29" s="93">
        <f t="shared" si="2"/>
        <v>0.9512866907921191</v>
      </c>
      <c r="K29" s="93">
        <f t="shared" si="2"/>
        <v>0.9153125636326614</v>
      </c>
      <c r="L29" s="94">
        <f t="shared" si="2"/>
        <v>0.9225810382646844</v>
      </c>
      <c r="M29" s="66">
        <v>76091.4</v>
      </c>
      <c r="N29" s="95">
        <f t="shared" si="3"/>
        <v>335.02582323959473</v>
      </c>
    </row>
    <row r="30" spans="1:14" ht="12.75">
      <c r="A30" s="31" t="s">
        <v>11</v>
      </c>
      <c r="B30" s="24">
        <v>0.009</v>
      </c>
      <c r="C30" s="24">
        <v>0.011</v>
      </c>
      <c r="D30" s="91">
        <f>B6*B30</f>
        <v>14.921999999999999</v>
      </c>
      <c r="E30" s="91">
        <f>B7*C30</f>
        <v>54.020999999999994</v>
      </c>
      <c r="F30" s="91">
        <f t="shared" si="0"/>
        <v>68.943</v>
      </c>
      <c r="G30" s="65">
        <v>12.984</v>
      </c>
      <c r="H30" s="65">
        <v>47.806</v>
      </c>
      <c r="I30" s="92">
        <f t="shared" si="1"/>
        <v>60.79</v>
      </c>
      <c r="J30" s="93">
        <f t="shared" si="2"/>
        <v>0.8701246481704866</v>
      </c>
      <c r="K30" s="93">
        <f t="shared" si="2"/>
        <v>0.884952148238648</v>
      </c>
      <c r="L30" s="94">
        <f t="shared" si="2"/>
        <v>0.8817428890532759</v>
      </c>
      <c r="M30" s="66">
        <v>10881.4</v>
      </c>
      <c r="N30" s="95">
        <f t="shared" si="3"/>
        <v>178.99983549925975</v>
      </c>
    </row>
    <row r="31" spans="1:14" ht="12.75">
      <c r="A31" s="31" t="s">
        <v>12</v>
      </c>
      <c r="B31" s="24">
        <v>0.004</v>
      </c>
      <c r="C31" s="24">
        <v>0.006</v>
      </c>
      <c r="D31" s="91">
        <f>B6*B31</f>
        <v>6.632000000000001</v>
      </c>
      <c r="E31" s="91">
        <f>B7*C31</f>
        <v>29.466</v>
      </c>
      <c r="F31" s="91">
        <f t="shared" si="0"/>
        <v>36.098</v>
      </c>
      <c r="G31" s="65">
        <v>6.943</v>
      </c>
      <c r="H31" s="65">
        <v>29.902</v>
      </c>
      <c r="I31" s="92">
        <f t="shared" si="1"/>
        <v>36.845</v>
      </c>
      <c r="J31" s="93">
        <f t="shared" si="2"/>
        <v>1.0468938480096501</v>
      </c>
      <c r="K31" s="93">
        <f t="shared" si="2"/>
        <v>1.0147967148578023</v>
      </c>
      <c r="L31" s="94">
        <f t="shared" si="2"/>
        <v>1.0206936672391822</v>
      </c>
      <c r="M31" s="66">
        <v>15573.85</v>
      </c>
      <c r="N31" s="95">
        <f t="shared" si="3"/>
        <v>422.68557470484467</v>
      </c>
    </row>
    <row r="32" spans="1:14" ht="12.75">
      <c r="A32" s="31" t="s">
        <v>13</v>
      </c>
      <c r="B32" s="24">
        <v>1</v>
      </c>
      <c r="C32" s="24">
        <v>1</v>
      </c>
      <c r="D32" s="91">
        <f>B6*B32</f>
        <v>1658</v>
      </c>
      <c r="E32" s="91">
        <f>B7*C32</f>
        <v>4911</v>
      </c>
      <c r="F32" s="91">
        <f t="shared" si="0"/>
        <v>6569</v>
      </c>
      <c r="G32" s="65">
        <v>1469.2</v>
      </c>
      <c r="H32" s="65">
        <v>4514.6</v>
      </c>
      <c r="I32" s="92">
        <f t="shared" si="1"/>
        <v>5983.8</v>
      </c>
      <c r="J32" s="93">
        <f t="shared" si="2"/>
        <v>0.8861278648974669</v>
      </c>
      <c r="K32" s="93">
        <f t="shared" si="2"/>
        <v>0.919283241702301</v>
      </c>
      <c r="L32" s="94">
        <f t="shared" si="2"/>
        <v>0.9109149033338408</v>
      </c>
      <c r="M32" s="66">
        <v>44878.5</v>
      </c>
      <c r="N32" s="95">
        <f t="shared" si="3"/>
        <v>7.5</v>
      </c>
    </row>
    <row r="33" spans="1:14" ht="12.75">
      <c r="A33" s="31" t="s">
        <v>14</v>
      </c>
      <c r="B33" s="24">
        <v>0.025</v>
      </c>
      <c r="C33" s="24">
        <v>0.029</v>
      </c>
      <c r="D33" s="91">
        <f>B6*B33</f>
        <v>41.45</v>
      </c>
      <c r="E33" s="91">
        <f>B7*C33</f>
        <v>142.419</v>
      </c>
      <c r="F33" s="91">
        <f t="shared" si="0"/>
        <v>183.86900000000003</v>
      </c>
      <c r="G33" s="65">
        <v>35.146</v>
      </c>
      <c r="H33" s="65">
        <v>129.553</v>
      </c>
      <c r="I33" s="92">
        <f t="shared" si="1"/>
        <v>164.699</v>
      </c>
      <c r="J33" s="93">
        <f t="shared" si="2"/>
        <v>0.847913148371532</v>
      </c>
      <c r="K33" s="93">
        <f t="shared" si="2"/>
        <v>0.9096609300725323</v>
      </c>
      <c r="L33" s="94">
        <f t="shared" si="2"/>
        <v>0.8957409895088351</v>
      </c>
      <c r="M33" s="66">
        <v>4633.35</v>
      </c>
      <c r="N33" s="95">
        <f t="shared" si="3"/>
        <v>28.13222909671583</v>
      </c>
    </row>
    <row r="34" spans="1:14" ht="12.75">
      <c r="A34" s="31" t="s">
        <v>15</v>
      </c>
      <c r="B34" s="24">
        <v>0.03</v>
      </c>
      <c r="C34" s="24">
        <v>0.043</v>
      </c>
      <c r="D34" s="91">
        <f>B6*B34</f>
        <v>49.739999999999995</v>
      </c>
      <c r="E34" s="91">
        <f>B7*C34</f>
        <v>211.17299999999997</v>
      </c>
      <c r="F34" s="91">
        <f t="shared" si="0"/>
        <v>260.91299999999995</v>
      </c>
      <c r="G34" s="65">
        <v>52.843</v>
      </c>
      <c r="H34" s="65">
        <v>197.444</v>
      </c>
      <c r="I34" s="92">
        <f t="shared" si="1"/>
        <v>250.28699999999998</v>
      </c>
      <c r="J34" s="93">
        <f t="shared" si="2"/>
        <v>1.0623843988741457</v>
      </c>
      <c r="K34" s="93">
        <f t="shared" si="2"/>
        <v>0.9349869538245894</v>
      </c>
      <c r="L34" s="94">
        <f t="shared" si="2"/>
        <v>0.9592737809154777</v>
      </c>
      <c r="M34" s="66">
        <f>299.66+741.11+3820.81+1097.53+1167.53+128.55+141.85+291.46+1277.43+3808.98</f>
        <v>12774.91</v>
      </c>
      <c r="N34" s="95">
        <f t="shared" si="3"/>
        <v>51.041044880477216</v>
      </c>
    </row>
    <row r="35" spans="1:14" ht="12.75">
      <c r="A35" s="31" t="s">
        <v>16</v>
      </c>
      <c r="B35" s="24">
        <v>0.008</v>
      </c>
      <c r="C35" s="24">
        <v>0.012</v>
      </c>
      <c r="D35" s="91">
        <f>B6*B35</f>
        <v>13.264000000000001</v>
      </c>
      <c r="E35" s="91">
        <f>B7*C35</f>
        <v>58.932</v>
      </c>
      <c r="F35" s="91">
        <f t="shared" si="0"/>
        <v>72.196</v>
      </c>
      <c r="G35" s="65">
        <v>10.989</v>
      </c>
      <c r="H35" s="65">
        <v>39.715</v>
      </c>
      <c r="I35" s="92">
        <f t="shared" si="1"/>
        <v>50.70400000000001</v>
      </c>
      <c r="J35" s="93">
        <f t="shared" si="2"/>
        <v>0.8284831121833535</v>
      </c>
      <c r="K35" s="93">
        <f t="shared" si="2"/>
        <v>0.673912305708274</v>
      </c>
      <c r="L35" s="94">
        <f t="shared" si="2"/>
        <v>0.702310377306222</v>
      </c>
      <c r="M35" s="66">
        <v>2354.52</v>
      </c>
      <c r="N35" s="95">
        <f t="shared" si="3"/>
        <v>46.43657305143578</v>
      </c>
    </row>
    <row r="36" spans="1:14" ht="12.75">
      <c r="A36" s="31" t="s">
        <v>17</v>
      </c>
      <c r="B36" s="24">
        <v>0.025</v>
      </c>
      <c r="C36" s="24">
        <v>0.03</v>
      </c>
      <c r="D36" s="91">
        <f>B6*B36</f>
        <v>41.45</v>
      </c>
      <c r="E36" s="91">
        <f>B7*C36</f>
        <v>147.32999999999998</v>
      </c>
      <c r="F36" s="91">
        <f t="shared" si="0"/>
        <v>188.77999999999997</v>
      </c>
      <c r="G36" s="65">
        <v>32.748</v>
      </c>
      <c r="H36" s="65">
        <v>127.747</v>
      </c>
      <c r="I36" s="92">
        <f t="shared" si="1"/>
        <v>160.495</v>
      </c>
      <c r="J36" s="93">
        <f t="shared" si="2"/>
        <v>0.7900603136308805</v>
      </c>
      <c r="K36" s="93">
        <f t="shared" si="2"/>
        <v>0.8670807031833301</v>
      </c>
      <c r="L36" s="94">
        <f t="shared" si="2"/>
        <v>0.8501695094819368</v>
      </c>
      <c r="M36" s="66">
        <v>9699.96</v>
      </c>
      <c r="N36" s="95">
        <f t="shared" si="3"/>
        <v>60.437770647060646</v>
      </c>
    </row>
    <row r="37" spans="1:14" ht="12.75">
      <c r="A37" s="31" t="s">
        <v>18</v>
      </c>
      <c r="B37" s="24">
        <v>0.012</v>
      </c>
      <c r="C37" s="24">
        <v>0.02</v>
      </c>
      <c r="D37" s="91">
        <f>B6*B37</f>
        <v>19.896</v>
      </c>
      <c r="E37" s="91">
        <f>B7*C37</f>
        <v>98.22</v>
      </c>
      <c r="F37" s="91">
        <f t="shared" si="0"/>
        <v>118.116</v>
      </c>
      <c r="G37" s="65">
        <v>14.268</v>
      </c>
      <c r="H37" s="65">
        <v>47.135</v>
      </c>
      <c r="I37" s="92">
        <f t="shared" si="1"/>
        <v>61.403</v>
      </c>
      <c r="J37" s="93">
        <f t="shared" si="2"/>
        <v>0.7171290711700844</v>
      </c>
      <c r="K37" s="93">
        <f t="shared" si="2"/>
        <v>0.47989207900631237</v>
      </c>
      <c r="L37" s="94">
        <f t="shared" si="2"/>
        <v>0.5198533644891462</v>
      </c>
      <c r="M37" s="66">
        <f>2709.17+4060.98</f>
        <v>6770.15</v>
      </c>
      <c r="N37" s="95">
        <f t="shared" si="3"/>
        <v>110.25764213474912</v>
      </c>
    </row>
    <row r="38" spans="1:14" ht="12.75">
      <c r="A38" s="31" t="s">
        <v>19</v>
      </c>
      <c r="B38" s="24">
        <v>0.009</v>
      </c>
      <c r="C38" s="24">
        <v>0.011</v>
      </c>
      <c r="D38" s="91">
        <f>B6*B38</f>
        <v>14.921999999999999</v>
      </c>
      <c r="E38" s="91">
        <f>B7*C38</f>
        <v>54.020999999999994</v>
      </c>
      <c r="F38" s="91">
        <f t="shared" si="0"/>
        <v>68.943</v>
      </c>
      <c r="G38" s="65">
        <v>13.264</v>
      </c>
      <c r="H38" s="65">
        <v>50.178</v>
      </c>
      <c r="I38" s="92">
        <f t="shared" si="1"/>
        <v>63.44199999999999</v>
      </c>
      <c r="J38" s="93">
        <f t="shared" si="2"/>
        <v>0.888888888888889</v>
      </c>
      <c r="K38" s="93">
        <f t="shared" si="2"/>
        <v>0.9288609985005831</v>
      </c>
      <c r="L38" s="94">
        <f t="shared" si="2"/>
        <v>0.9202094483848976</v>
      </c>
      <c r="M38" s="66">
        <f>4418.92+3161.15</f>
        <v>7580.07</v>
      </c>
      <c r="N38" s="95">
        <f t="shared" si="3"/>
        <v>119.48031272658493</v>
      </c>
    </row>
    <row r="39" spans="1:14" ht="12.75">
      <c r="A39" s="31" t="s">
        <v>20</v>
      </c>
      <c r="B39" s="24">
        <v>0.095</v>
      </c>
      <c r="C39" s="24">
        <v>0.1</v>
      </c>
      <c r="D39" s="91">
        <f>B6*B39</f>
        <v>157.51</v>
      </c>
      <c r="E39" s="91">
        <f>B7*C39</f>
        <v>491.1</v>
      </c>
      <c r="F39" s="91">
        <f t="shared" si="0"/>
        <v>648.61</v>
      </c>
      <c r="G39" s="65">
        <v>156.009</v>
      </c>
      <c r="H39" s="65">
        <v>488.685</v>
      </c>
      <c r="I39" s="92">
        <f t="shared" si="1"/>
        <v>644.694</v>
      </c>
      <c r="J39" s="93">
        <f t="shared" si="2"/>
        <v>0.9904704463208684</v>
      </c>
      <c r="K39" s="93">
        <f t="shared" si="2"/>
        <v>0.9950824679291387</v>
      </c>
      <c r="L39" s="94">
        <f t="shared" si="2"/>
        <v>0.9939624735973851</v>
      </c>
      <c r="M39" s="66">
        <f>7308.11+38420.2</f>
        <v>45728.31</v>
      </c>
      <c r="N39" s="95">
        <f t="shared" si="3"/>
        <v>70.93025528390213</v>
      </c>
    </row>
    <row r="40" spans="1:14" ht="12.75">
      <c r="A40" s="31" t="s">
        <v>21</v>
      </c>
      <c r="B40" s="24">
        <v>0.1</v>
      </c>
      <c r="C40" s="24">
        <v>0.1</v>
      </c>
      <c r="D40" s="91">
        <f>B6*B40</f>
        <v>165.8</v>
      </c>
      <c r="E40" s="91">
        <f>B7*C40</f>
        <v>491.1</v>
      </c>
      <c r="F40" s="91">
        <f t="shared" si="0"/>
        <v>656.9000000000001</v>
      </c>
      <c r="G40" s="65">
        <v>154.4</v>
      </c>
      <c r="H40" s="65">
        <v>499</v>
      </c>
      <c r="I40" s="92">
        <f t="shared" si="1"/>
        <v>653.4</v>
      </c>
      <c r="J40" s="93">
        <f t="shared" si="2"/>
        <v>0.9312424607961399</v>
      </c>
      <c r="K40" s="93">
        <f t="shared" si="2"/>
        <v>1.01608633679495</v>
      </c>
      <c r="L40" s="94">
        <f t="shared" si="2"/>
        <v>0.9946719439792965</v>
      </c>
      <c r="M40" s="66">
        <f>23356.64+8769.07</f>
        <v>32125.71</v>
      </c>
      <c r="N40" s="95">
        <f t="shared" si="3"/>
        <v>49.166988062442606</v>
      </c>
    </row>
    <row r="41" spans="1:14" ht="12.75">
      <c r="A41" s="31" t="s">
        <v>22</v>
      </c>
      <c r="B41" s="63">
        <v>0.12</v>
      </c>
      <c r="C41" s="63">
        <v>0.14</v>
      </c>
      <c r="D41" s="91">
        <f>B6*B41</f>
        <v>198.95999999999998</v>
      </c>
      <c r="E41" s="91">
        <f>B7*C41</f>
        <v>687.5400000000001</v>
      </c>
      <c r="F41" s="91">
        <f t="shared" si="0"/>
        <v>886.5</v>
      </c>
      <c r="G41" s="65">
        <v>190.244</v>
      </c>
      <c r="H41" s="65">
        <v>697.423</v>
      </c>
      <c r="I41" s="92">
        <f t="shared" si="1"/>
        <v>887.667</v>
      </c>
      <c r="J41" s="93">
        <f t="shared" si="2"/>
        <v>0.9561921994370729</v>
      </c>
      <c r="K41" s="93">
        <f t="shared" si="2"/>
        <v>1.0143744363964278</v>
      </c>
      <c r="L41" s="94">
        <f t="shared" si="2"/>
        <v>1.0013164128595602</v>
      </c>
      <c r="M41" s="66">
        <v>28109.48</v>
      </c>
      <c r="N41" s="95">
        <f t="shared" si="3"/>
        <v>31.66669483038121</v>
      </c>
    </row>
    <row r="42" spans="1:14" ht="12.75">
      <c r="A42" s="31" t="s">
        <v>23</v>
      </c>
      <c r="B42" s="24">
        <v>0.18</v>
      </c>
      <c r="C42" s="24">
        <v>0.22</v>
      </c>
      <c r="D42" s="91">
        <f>B6*B42</f>
        <v>298.44</v>
      </c>
      <c r="E42" s="91">
        <f>B7*C42</f>
        <v>1080.42</v>
      </c>
      <c r="F42" s="91">
        <f t="shared" si="0"/>
        <v>1378.8600000000001</v>
      </c>
      <c r="G42" s="65">
        <v>267.88</v>
      </c>
      <c r="H42" s="65">
        <v>991.181</v>
      </c>
      <c r="I42" s="92">
        <f t="shared" si="1"/>
        <v>1259.0610000000001</v>
      </c>
      <c r="J42" s="93">
        <f t="shared" si="2"/>
        <v>0.8976008577938615</v>
      </c>
      <c r="K42" s="93">
        <f t="shared" si="2"/>
        <v>0.9174034171896114</v>
      </c>
      <c r="L42" s="94">
        <f t="shared" si="2"/>
        <v>0.9131173578173274</v>
      </c>
      <c r="M42" s="66">
        <f>2745.72+8654.25+6741.16+6888.19+4265.61+1603.86+5694.51+1275.49+6786.88-14.87</f>
        <v>44640.79999999999</v>
      </c>
      <c r="N42" s="95">
        <f t="shared" si="3"/>
        <v>35.45562923480275</v>
      </c>
    </row>
    <row r="43" spans="1:14" ht="12.75">
      <c r="A43" s="31" t="s">
        <v>24</v>
      </c>
      <c r="B43" s="24">
        <v>0.04</v>
      </c>
      <c r="C43" s="24">
        <v>0.05</v>
      </c>
      <c r="D43" s="91">
        <f>B6*B43</f>
        <v>66.32000000000001</v>
      </c>
      <c r="E43" s="91">
        <f>B7*C43</f>
        <v>245.55</v>
      </c>
      <c r="F43" s="91">
        <f t="shared" si="0"/>
        <v>311.87</v>
      </c>
      <c r="G43" s="65">
        <v>66.32</v>
      </c>
      <c r="H43" s="65">
        <v>222.394</v>
      </c>
      <c r="I43" s="92">
        <f t="shared" si="1"/>
        <v>288.714</v>
      </c>
      <c r="J43" s="93">
        <f t="shared" si="2"/>
        <v>0.9999999999999998</v>
      </c>
      <c r="K43" s="93">
        <f t="shared" si="2"/>
        <v>0.9056974139686418</v>
      </c>
      <c r="L43" s="94">
        <f t="shared" si="2"/>
        <v>0.9257511142463206</v>
      </c>
      <c r="M43" s="161">
        <v>13950.17</v>
      </c>
      <c r="N43" s="95">
        <f t="shared" si="3"/>
        <v>48.31830115616146</v>
      </c>
    </row>
    <row r="44" spans="1:14" ht="12.75">
      <c r="A44" s="32" t="s">
        <v>25</v>
      </c>
      <c r="B44" s="64">
        <v>0.06</v>
      </c>
      <c r="C44" s="64">
        <v>0.08</v>
      </c>
      <c r="D44" s="91">
        <f>B6*B44</f>
        <v>99.47999999999999</v>
      </c>
      <c r="E44" s="91">
        <f>B7*C44</f>
        <v>392.88</v>
      </c>
      <c r="F44" s="91">
        <f>D44+E44</f>
        <v>492.36</v>
      </c>
      <c r="G44" s="65">
        <f>49.7+41.809</f>
        <v>91.509</v>
      </c>
      <c r="H44" s="65">
        <v>331.481</v>
      </c>
      <c r="I44" s="92">
        <f>G44+H44</f>
        <v>422.99</v>
      </c>
      <c r="J44" s="93">
        <f t="shared" si="2"/>
        <v>0.9198733413751509</v>
      </c>
      <c r="K44" s="93">
        <f t="shared" si="2"/>
        <v>0.8437207289757687</v>
      </c>
      <c r="L44" s="94">
        <f t="shared" si="2"/>
        <v>0.85910715736453</v>
      </c>
      <c r="M44" s="66">
        <f>11039.33+15011.23</f>
        <v>26050.559999999998</v>
      </c>
      <c r="N44" s="95">
        <f>IF(I44&gt;0,M44/I44,0)</f>
        <v>61.58670417740372</v>
      </c>
    </row>
    <row r="45" spans="1:14" s="88" customFormat="1" ht="12.75">
      <c r="A45" s="97" t="s">
        <v>54</v>
      </c>
      <c r="B45" s="96"/>
      <c r="C45" s="96"/>
      <c r="D45" s="98">
        <f>SUM(D22:D44)</f>
        <v>3790.1880000000006</v>
      </c>
      <c r="E45" s="98">
        <f>SUM(E22:E44)</f>
        <v>12351.165</v>
      </c>
      <c r="F45" s="98">
        <f>D45+E45</f>
        <v>16141.353000000001</v>
      </c>
      <c r="G45" s="99">
        <f>SUM(G22:G44)</f>
        <v>3440.181000000001</v>
      </c>
      <c r="H45" s="99">
        <f>SUM(H22:H44)</f>
        <v>11391.778000000002</v>
      </c>
      <c r="I45" s="100">
        <f>G45+H45</f>
        <v>14831.959000000003</v>
      </c>
      <c r="J45" s="101">
        <f>IF(G45&gt;0,G45/D45,0)</f>
        <v>0.9076544488030674</v>
      </c>
      <c r="K45" s="101">
        <f>IF(E45&gt;0,H45/E45,0)</f>
        <v>0.9223241694204556</v>
      </c>
      <c r="L45" s="101">
        <f>IF(F45&gt;0,I45/F45,0)</f>
        <v>0.918879538784636</v>
      </c>
      <c r="M45" s="102">
        <f>SUM(SUM(M22:M44))</f>
        <v>872115.27</v>
      </c>
      <c r="N45" s="103"/>
    </row>
    <row r="46" ht="13.5" thickBot="1"/>
    <row r="47" spans="1:14" s="110" customFormat="1" ht="21" customHeight="1" thickBot="1">
      <c r="A47" s="104" t="s">
        <v>48</v>
      </c>
      <c r="B47" s="105">
        <f>SUM(B22:B24)</f>
        <v>0.09000000000000001</v>
      </c>
      <c r="C47" s="105">
        <f>SUM(C22:C24)</f>
        <v>0.10400000000000001</v>
      </c>
      <c r="D47" s="106">
        <f aca="true" t="shared" si="4" ref="D47:I47">SUM(D22:D24)</f>
        <v>149.22</v>
      </c>
      <c r="E47" s="106">
        <f t="shared" si="4"/>
        <v>510.744</v>
      </c>
      <c r="F47" s="106">
        <f t="shared" si="4"/>
        <v>659.9639999999999</v>
      </c>
      <c r="G47" s="106">
        <f t="shared" si="4"/>
        <v>141.305</v>
      </c>
      <c r="H47" s="106">
        <f t="shared" si="4"/>
        <v>514.511</v>
      </c>
      <c r="I47" s="106">
        <f t="shared" si="4"/>
        <v>655.816</v>
      </c>
      <c r="J47" s="107">
        <f>IF(G47=0,0,G47/D47)</f>
        <v>0.9469575123978019</v>
      </c>
      <c r="K47" s="107">
        <f>IF(H47=0,0,H47/E47)</f>
        <v>1.007375514935075</v>
      </c>
      <c r="L47" s="107">
        <f>IF(I47&gt;0,I47/F47,0)</f>
        <v>0.9937148086865345</v>
      </c>
      <c r="M47" s="108">
        <f>SUM(M22:M24)</f>
        <v>192907.88999999998</v>
      </c>
      <c r="N47" s="109">
        <f>IF(M47=0,0,M47/I47)</f>
        <v>294.1494108103492</v>
      </c>
    </row>
  </sheetData>
  <sheetProtection password="CC53" sheet="1" objects="1" scenarios="1" formatCells="0" formatColumns="0" formatRows="0"/>
  <mergeCells count="19">
    <mergeCell ref="B20:C20"/>
    <mergeCell ref="D20:F20"/>
    <mergeCell ref="G20:I20"/>
    <mergeCell ref="A19:N19"/>
    <mergeCell ref="A20:A21"/>
    <mergeCell ref="N20:N21"/>
    <mergeCell ref="L13:N13"/>
    <mergeCell ref="L14:M14"/>
    <mergeCell ref="L15:M15"/>
    <mergeCell ref="L16:M16"/>
    <mergeCell ref="L17:M17"/>
    <mergeCell ref="J20:L20"/>
    <mergeCell ref="M20:M21"/>
    <mergeCell ref="A1:G1"/>
    <mergeCell ref="C8:C10"/>
    <mergeCell ref="D8:F10"/>
    <mergeCell ref="A11:B11"/>
    <mergeCell ref="A15:B15"/>
    <mergeCell ref="E2:G2"/>
  </mergeCells>
  <printOptions/>
  <pageMargins left="0.31496062992125984" right="0.31496062992125984" top="0.61" bottom="0.31496062992125984" header="0.61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B5" sqref="B5"/>
    </sheetView>
  </sheetViews>
  <sheetFormatPr defaultColWidth="9.125" defaultRowHeight="12.75"/>
  <cols>
    <col min="1" max="1" width="32.625" style="2" customWidth="1"/>
    <col min="2" max="3" width="12.125" style="2" customWidth="1"/>
    <col min="4" max="12" width="11.375" style="2" customWidth="1"/>
    <col min="13" max="13" width="12.50390625" style="2" customWidth="1"/>
    <col min="14" max="14" width="11.375" style="2" customWidth="1"/>
    <col min="15" max="15" width="10.50390625" style="2" customWidth="1"/>
    <col min="16" max="16384" width="9.125" style="2" customWidth="1"/>
  </cols>
  <sheetData>
    <row r="1" spans="1:14" ht="24" customHeight="1">
      <c r="A1" s="171" t="s">
        <v>82</v>
      </c>
      <c r="B1" s="171"/>
      <c r="C1" s="171"/>
      <c r="D1" s="171"/>
      <c r="E1" s="171"/>
      <c r="F1" s="171"/>
      <c r="G1" s="171"/>
      <c r="H1" s="119">
        <f>янв!H1</f>
        <v>2023</v>
      </c>
      <c r="I1" s="1" t="s">
        <v>75</v>
      </c>
      <c r="J1" s="1"/>
      <c r="K1" s="1"/>
      <c r="L1" s="1"/>
      <c r="M1" s="1"/>
      <c r="N1" s="1"/>
    </row>
    <row r="2" spans="1:7" ht="12.75">
      <c r="A2" s="3" t="s">
        <v>26</v>
      </c>
      <c r="B2" s="157" t="s">
        <v>98</v>
      </c>
      <c r="E2" s="183" t="s">
        <v>55</v>
      </c>
      <c r="F2" s="183"/>
      <c r="G2" s="183"/>
    </row>
    <row r="3" spans="1:2" ht="12.75">
      <c r="A3" s="3" t="s">
        <v>0</v>
      </c>
      <c r="B3" s="38" t="s">
        <v>99</v>
      </c>
    </row>
    <row r="4" spans="1:2" ht="12.75">
      <c r="A4" s="4" t="s">
        <v>30</v>
      </c>
      <c r="B4" s="38">
        <v>448</v>
      </c>
    </row>
    <row r="5" spans="1:2" ht="12.75">
      <c r="A5" s="5" t="s">
        <v>28</v>
      </c>
      <c r="B5" s="140">
        <f>B6+B7</f>
        <v>5941</v>
      </c>
    </row>
    <row r="6" spans="1:2" ht="12.75">
      <c r="A6" s="6" t="s">
        <v>27</v>
      </c>
      <c r="B6" s="146">
        <v>1531</v>
      </c>
    </row>
    <row r="7" spans="1:2" ht="13.5" thickBot="1">
      <c r="A7" s="7" t="s">
        <v>29</v>
      </c>
      <c r="B7" s="147">
        <v>4410</v>
      </c>
    </row>
    <row r="8" spans="1:6" ht="12.75">
      <c r="A8" s="8" t="s">
        <v>31</v>
      </c>
      <c r="B8" s="132">
        <v>860165.83</v>
      </c>
      <c r="C8" s="184"/>
      <c r="D8" s="187"/>
      <c r="E8" s="183"/>
      <c r="F8" s="183"/>
    </row>
    <row r="9" spans="1:6" ht="12.75">
      <c r="A9" s="9" t="s">
        <v>32</v>
      </c>
      <c r="B9" s="133">
        <f>M45</f>
        <v>854928.23</v>
      </c>
      <c r="C9" s="184"/>
      <c r="D9" s="187"/>
      <c r="E9" s="183"/>
      <c r="F9" s="183"/>
    </row>
    <row r="10" spans="1:6" ht="13.5" thickBot="1">
      <c r="A10" s="11" t="s">
        <v>33</v>
      </c>
      <c r="B10" s="134">
        <f>B8-B9</f>
        <v>5237.599999999977</v>
      </c>
      <c r="C10" s="184"/>
      <c r="D10" s="187"/>
      <c r="E10" s="183"/>
      <c r="F10" s="183"/>
    </row>
    <row r="11" spans="1:3" ht="12.75">
      <c r="A11" s="185" t="s">
        <v>40</v>
      </c>
      <c r="B11" s="185"/>
      <c r="C11" s="12"/>
    </row>
    <row r="12" spans="1:3" ht="12.75">
      <c r="A12" s="3" t="s">
        <v>34</v>
      </c>
      <c r="B12" s="13">
        <v>131</v>
      </c>
      <c r="C12" s="12"/>
    </row>
    <row r="13" spans="1:14" ht="12.75" customHeight="1">
      <c r="A13" s="3" t="s">
        <v>2</v>
      </c>
      <c r="B13" s="131">
        <f>IF(M45&gt;0,B8/B5,0)</f>
        <v>144.78468776300286</v>
      </c>
      <c r="C13" s="12"/>
      <c r="L13" s="176" t="s">
        <v>49</v>
      </c>
      <c r="M13" s="176"/>
      <c r="N13" s="176"/>
    </row>
    <row r="14" spans="1:14" ht="12.75">
      <c r="A14" s="14" t="s">
        <v>3</v>
      </c>
      <c r="B14" s="15">
        <f>B13/B12</f>
        <v>1.1052266241450601</v>
      </c>
      <c r="E14" s="42"/>
      <c r="L14" s="177" t="s">
        <v>50</v>
      </c>
      <c r="M14" s="177"/>
      <c r="N14" s="41">
        <v>2</v>
      </c>
    </row>
    <row r="15" spans="1:14" ht="12.75">
      <c r="A15" s="182" t="s">
        <v>41</v>
      </c>
      <c r="B15" s="182"/>
      <c r="C15" s="12"/>
      <c r="E15" s="43"/>
      <c r="L15" s="177" t="s">
        <v>53</v>
      </c>
      <c r="M15" s="177"/>
      <c r="N15" s="41">
        <v>1.25</v>
      </c>
    </row>
    <row r="16" spans="1:14" ht="12.75">
      <c r="A16" s="3" t="s">
        <v>42</v>
      </c>
      <c r="B16" s="16">
        <f>J45</f>
        <v>0.983002206370187</v>
      </c>
      <c r="C16" s="12"/>
      <c r="L16" s="177" t="s">
        <v>52</v>
      </c>
      <c r="M16" s="177"/>
      <c r="N16" s="41">
        <v>2.63</v>
      </c>
    </row>
    <row r="17" spans="1:14" ht="13.5" thickBot="1">
      <c r="A17" s="3" t="s">
        <v>43</v>
      </c>
      <c r="B17" s="17">
        <f>K45</f>
        <v>0.9154978518909221</v>
      </c>
      <c r="C17" s="12"/>
      <c r="L17" s="177" t="s">
        <v>51</v>
      </c>
      <c r="M17" s="177"/>
      <c r="N17" s="41">
        <v>8.33</v>
      </c>
    </row>
    <row r="18" spans="1:3" ht="18" thickBot="1">
      <c r="A18" s="18" t="s">
        <v>44</v>
      </c>
      <c r="B18" s="19">
        <f>L45</f>
        <v>0.9316897466221682</v>
      </c>
      <c r="C18" s="12"/>
    </row>
    <row r="19" spans="1:14" ht="18.75" customHeight="1">
      <c r="A19" s="174" t="s">
        <v>1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</row>
    <row r="20" spans="1:14" s="20" customFormat="1" ht="39" customHeight="1">
      <c r="A20" s="186"/>
      <c r="B20" s="179" t="s">
        <v>37</v>
      </c>
      <c r="C20" s="179"/>
      <c r="D20" s="178" t="s">
        <v>38</v>
      </c>
      <c r="E20" s="178"/>
      <c r="F20" s="179"/>
      <c r="G20" s="178" t="s">
        <v>39</v>
      </c>
      <c r="H20" s="179"/>
      <c r="I20" s="179"/>
      <c r="J20" s="180" t="s">
        <v>4</v>
      </c>
      <c r="K20" s="181"/>
      <c r="L20" s="181"/>
      <c r="M20" s="172" t="s">
        <v>46</v>
      </c>
      <c r="N20" s="172" t="s">
        <v>47</v>
      </c>
    </row>
    <row r="21" spans="1:14" s="20" customFormat="1" ht="12.75">
      <c r="A21" s="186"/>
      <c r="B21" s="48" t="s">
        <v>27</v>
      </c>
      <c r="C21" s="48" t="s">
        <v>29</v>
      </c>
      <c r="D21" s="21" t="s">
        <v>27</v>
      </c>
      <c r="E21" s="21" t="s">
        <v>29</v>
      </c>
      <c r="F21" s="21" t="s">
        <v>5</v>
      </c>
      <c r="G21" s="21" t="s">
        <v>27</v>
      </c>
      <c r="H21" s="21" t="s">
        <v>29</v>
      </c>
      <c r="I21" s="21" t="s">
        <v>5</v>
      </c>
      <c r="J21" s="21" t="s">
        <v>27</v>
      </c>
      <c r="K21" s="21" t="s">
        <v>29</v>
      </c>
      <c r="L21" s="22" t="s">
        <v>45</v>
      </c>
      <c r="M21" s="173"/>
      <c r="N21" s="173"/>
    </row>
    <row r="22" spans="1:14" ht="12.75">
      <c r="A22" s="163" t="s">
        <v>6</v>
      </c>
      <c r="B22" s="63">
        <v>0.05</v>
      </c>
      <c r="C22" s="63">
        <v>0.055</v>
      </c>
      <c r="D22" s="25">
        <f>B6*B22</f>
        <v>76.55</v>
      </c>
      <c r="E22" s="25">
        <f>B7*C22</f>
        <v>242.55</v>
      </c>
      <c r="F22" s="25">
        <f>D22+E22</f>
        <v>319.1</v>
      </c>
      <c r="G22" s="39">
        <v>72.442</v>
      </c>
      <c r="H22" s="39">
        <v>255.665</v>
      </c>
      <c r="I22" s="26">
        <f>G22+H22</f>
        <v>328.10699999999997</v>
      </c>
      <c r="J22" s="27">
        <f>IF(D22&gt;0,G22/D22,0)</f>
        <v>0.9463357282821685</v>
      </c>
      <c r="K22" s="27">
        <f>IF(E22&gt;0,H22/E22,0)</f>
        <v>1.0540713254998968</v>
      </c>
      <c r="L22" s="28">
        <f aca="true" t="shared" si="0" ref="J22:L44">IF(F22&gt;0,I22/F22,0)</f>
        <v>1.028226261360075</v>
      </c>
      <c r="M22" s="165">
        <f>1600.83+102774.95</f>
        <v>104375.78</v>
      </c>
      <c r="N22" s="29">
        <f>IF(I22&gt;0,M22/I22,0)</f>
        <v>318.1150661217225</v>
      </c>
    </row>
    <row r="23" spans="1:14" ht="12.75">
      <c r="A23" s="163" t="s">
        <v>7</v>
      </c>
      <c r="B23" s="63">
        <v>0.02</v>
      </c>
      <c r="C23" s="63">
        <v>0.024</v>
      </c>
      <c r="D23" s="25">
        <f>B6*B23</f>
        <v>30.62</v>
      </c>
      <c r="E23" s="25">
        <f>B7*C23</f>
        <v>105.84</v>
      </c>
      <c r="F23" s="25">
        <f aca="true" t="shared" si="1" ref="F23:F43">D23+E23</f>
        <v>136.46</v>
      </c>
      <c r="G23" s="39">
        <v>24.847</v>
      </c>
      <c r="H23" s="39">
        <v>86.189</v>
      </c>
      <c r="I23" s="26">
        <f aca="true" t="shared" si="2" ref="I23:I43">G23+H23</f>
        <v>111.036</v>
      </c>
      <c r="J23" s="27">
        <f t="shared" si="0"/>
        <v>0.811463096015676</v>
      </c>
      <c r="K23" s="27">
        <f t="shared" si="0"/>
        <v>0.8143329554043839</v>
      </c>
      <c r="L23" s="28">
        <f t="shared" si="0"/>
        <v>0.8136889931115345</v>
      </c>
      <c r="M23" s="165">
        <v>26413.04</v>
      </c>
      <c r="N23" s="29">
        <f aca="true" t="shared" si="3" ref="N23:N43">IF(I23&gt;0,M23/I23,0)</f>
        <v>237.87816563997262</v>
      </c>
    </row>
    <row r="24" spans="1:14" ht="12.75">
      <c r="A24" s="163" t="s">
        <v>97</v>
      </c>
      <c r="B24" s="158">
        <v>0.02</v>
      </c>
      <c r="C24" s="63">
        <v>0.025</v>
      </c>
      <c r="D24" s="25">
        <f>B6*B24</f>
        <v>30.62</v>
      </c>
      <c r="E24" s="25">
        <f>B7*C24</f>
        <v>110.25</v>
      </c>
      <c r="F24" s="25">
        <f>D24+E24</f>
        <v>140.87</v>
      </c>
      <c r="G24" s="39">
        <f>6.124+19.455</f>
        <v>25.578999999999997</v>
      </c>
      <c r="H24" s="39">
        <f>19.822+63.914</f>
        <v>83.736</v>
      </c>
      <c r="I24" s="26">
        <f>G24+H24</f>
        <v>109.315</v>
      </c>
      <c r="J24" s="27">
        <f>IF(D24&gt;0,G24/D24,0)</f>
        <v>0.8353690398432396</v>
      </c>
      <c r="K24" s="27">
        <f>IF(E24&gt;0,H24/E24,0)</f>
        <v>0.7595102040816327</v>
      </c>
      <c r="L24" s="28">
        <f>IF(F24&gt;0,I24/F24,0)</f>
        <v>0.7759991481507773</v>
      </c>
      <c r="M24" s="165">
        <f>7682.89+21675.92</f>
        <v>29358.809999999998</v>
      </c>
      <c r="N24" s="29">
        <f>IF(I24&gt;0,M24/I24,0)</f>
        <v>268.5707359465764</v>
      </c>
    </row>
    <row r="25" spans="1:14" ht="12.75">
      <c r="A25" s="163" t="s">
        <v>8</v>
      </c>
      <c r="B25" s="24">
        <v>0.032</v>
      </c>
      <c r="C25" s="24">
        <v>0.037</v>
      </c>
      <c r="D25" s="25">
        <f>B6*B25</f>
        <v>48.992000000000004</v>
      </c>
      <c r="E25" s="25">
        <f>B7*C25</f>
        <v>163.17</v>
      </c>
      <c r="F25" s="25">
        <f t="shared" si="1"/>
        <v>212.16199999999998</v>
      </c>
      <c r="G25" s="39">
        <v>44.317</v>
      </c>
      <c r="H25" s="39">
        <v>145.158</v>
      </c>
      <c r="I25" s="26">
        <f t="shared" si="2"/>
        <v>189.475</v>
      </c>
      <c r="J25" s="27">
        <f t="shared" si="0"/>
        <v>0.9045762573481384</v>
      </c>
      <c r="K25" s="27">
        <f t="shared" si="0"/>
        <v>0.8896120610406325</v>
      </c>
      <c r="L25" s="28">
        <f t="shared" si="0"/>
        <v>0.8930675615803019</v>
      </c>
      <c r="M25" s="165">
        <v>44620.86</v>
      </c>
      <c r="N25" s="29">
        <f t="shared" si="3"/>
        <v>235.49734793508378</v>
      </c>
    </row>
    <row r="26" spans="1:14" ht="12.75">
      <c r="A26" s="163" t="s">
        <v>35</v>
      </c>
      <c r="B26" s="24">
        <v>0.018</v>
      </c>
      <c r="C26" s="24">
        <v>0.021</v>
      </c>
      <c r="D26" s="25">
        <f>B6*B26</f>
        <v>27.557999999999996</v>
      </c>
      <c r="E26" s="25">
        <f>B7*C26</f>
        <v>92.61</v>
      </c>
      <c r="F26" s="25">
        <f t="shared" si="1"/>
        <v>120.16799999999999</v>
      </c>
      <c r="G26" s="39">
        <v>27.188</v>
      </c>
      <c r="H26" s="39">
        <v>89.764</v>
      </c>
      <c r="I26" s="26">
        <f t="shared" si="2"/>
        <v>116.952</v>
      </c>
      <c r="J26" s="27">
        <f t="shared" si="0"/>
        <v>0.9865737716815445</v>
      </c>
      <c r="K26" s="27">
        <f t="shared" si="0"/>
        <v>0.9692689774322427</v>
      </c>
      <c r="L26" s="28">
        <f t="shared" si="0"/>
        <v>0.9732374675454364</v>
      </c>
      <c r="M26" s="165">
        <v>76668.55</v>
      </c>
      <c r="N26" s="29">
        <f t="shared" si="3"/>
        <v>655.5556980641632</v>
      </c>
    </row>
    <row r="27" spans="1:14" ht="12.75">
      <c r="A27" s="31" t="s">
        <v>36</v>
      </c>
      <c r="B27" s="24">
        <v>0.009</v>
      </c>
      <c r="C27" s="24">
        <v>0.011</v>
      </c>
      <c r="D27" s="25">
        <f>B6*B27</f>
        <v>13.778999999999998</v>
      </c>
      <c r="E27" s="25">
        <f>B7*C27</f>
        <v>48.51</v>
      </c>
      <c r="F27" s="25">
        <f t="shared" si="1"/>
        <v>62.288999999999994</v>
      </c>
      <c r="G27" s="162">
        <v>11.804</v>
      </c>
      <c r="H27" s="162">
        <v>46.403</v>
      </c>
      <c r="I27" s="26">
        <f t="shared" si="2"/>
        <v>58.207</v>
      </c>
      <c r="J27" s="27">
        <f t="shared" si="0"/>
        <v>0.8566659409245956</v>
      </c>
      <c r="K27" s="27">
        <f t="shared" si="0"/>
        <v>0.9565656565656566</v>
      </c>
      <c r="L27" s="28">
        <f t="shared" si="0"/>
        <v>0.9344667597810208</v>
      </c>
      <c r="M27" s="166">
        <v>6609.51</v>
      </c>
      <c r="N27" s="29">
        <f t="shared" si="3"/>
        <v>113.55180648375625</v>
      </c>
    </row>
    <row r="28" spans="1:14" ht="12.75">
      <c r="A28" s="164" t="s">
        <v>9</v>
      </c>
      <c r="B28" s="24">
        <v>0.39</v>
      </c>
      <c r="C28" s="24">
        <v>0.45</v>
      </c>
      <c r="D28" s="25">
        <f>B6*B28</f>
        <v>597.09</v>
      </c>
      <c r="E28" s="25">
        <f>B7*C28</f>
        <v>1984.5</v>
      </c>
      <c r="F28" s="25">
        <f t="shared" si="1"/>
        <v>2581.59</v>
      </c>
      <c r="G28" s="162">
        <f>151.953+391.354+10.691</f>
        <v>553.998</v>
      </c>
      <c r="H28" s="162">
        <v>1816.269</v>
      </c>
      <c r="I28" s="26">
        <f t="shared" si="2"/>
        <v>2370.267</v>
      </c>
      <c r="J28" s="27">
        <f t="shared" si="0"/>
        <v>0.927829975380596</v>
      </c>
      <c r="K28" s="27">
        <f t="shared" si="0"/>
        <v>0.9152275132275133</v>
      </c>
      <c r="L28" s="28">
        <f t="shared" si="0"/>
        <v>0.9181423076476124</v>
      </c>
      <c r="M28" s="165">
        <f>16789.5+106973.97+3168.82+22642.3</f>
        <v>149574.59</v>
      </c>
      <c r="N28" s="29">
        <f t="shared" si="3"/>
        <v>63.10453210545479</v>
      </c>
    </row>
    <row r="29" spans="1:14" ht="12.75">
      <c r="A29" s="163" t="s">
        <v>10</v>
      </c>
      <c r="B29" s="24">
        <v>0.03</v>
      </c>
      <c r="C29" s="24">
        <v>0.04</v>
      </c>
      <c r="D29" s="25">
        <f>B6*B29</f>
        <v>45.93</v>
      </c>
      <c r="E29" s="25">
        <f>B7*C29</f>
        <v>176.4</v>
      </c>
      <c r="F29" s="25">
        <f t="shared" si="1"/>
        <v>222.33</v>
      </c>
      <c r="G29" s="162">
        <v>42.771</v>
      </c>
      <c r="H29" s="162">
        <v>158.997</v>
      </c>
      <c r="I29" s="26">
        <f t="shared" si="2"/>
        <v>201.76800000000003</v>
      </c>
      <c r="J29" s="27">
        <f t="shared" si="0"/>
        <v>0.9312214239059439</v>
      </c>
      <c r="K29" s="27">
        <f t="shared" si="0"/>
        <v>0.9013435374149661</v>
      </c>
      <c r="L29" s="28">
        <f t="shared" si="0"/>
        <v>0.9075158548104171</v>
      </c>
      <c r="M29" s="165">
        <v>67597.2</v>
      </c>
      <c r="N29" s="29">
        <f t="shared" si="3"/>
        <v>335.02438444153677</v>
      </c>
    </row>
    <row r="30" spans="1:14" ht="12.75">
      <c r="A30" s="163" t="s">
        <v>11</v>
      </c>
      <c r="B30" s="24">
        <v>0.009</v>
      </c>
      <c r="C30" s="24">
        <v>0.011</v>
      </c>
      <c r="D30" s="25">
        <f>B6*B30</f>
        <v>13.778999999999998</v>
      </c>
      <c r="E30" s="25">
        <f>B7*C30</f>
        <v>48.51</v>
      </c>
      <c r="F30" s="25">
        <f t="shared" si="1"/>
        <v>62.288999999999994</v>
      </c>
      <c r="G30" s="162">
        <v>12.731</v>
      </c>
      <c r="H30" s="162">
        <v>45.424</v>
      </c>
      <c r="I30" s="26">
        <f t="shared" si="2"/>
        <v>58.155</v>
      </c>
      <c r="J30" s="27">
        <f t="shared" si="0"/>
        <v>0.9239422309311272</v>
      </c>
      <c r="K30" s="27">
        <f t="shared" si="0"/>
        <v>0.936384250669965</v>
      </c>
      <c r="L30" s="28">
        <f t="shared" si="0"/>
        <v>0.9336319414342822</v>
      </c>
      <c r="M30" s="165">
        <v>10409.74</v>
      </c>
      <c r="N30" s="29">
        <f t="shared" si="3"/>
        <v>178.99991402286992</v>
      </c>
    </row>
    <row r="31" spans="1:14" ht="12.75">
      <c r="A31" s="163" t="s">
        <v>12</v>
      </c>
      <c r="B31" s="24">
        <v>0.004</v>
      </c>
      <c r="C31" s="24">
        <v>0.006</v>
      </c>
      <c r="D31" s="25">
        <f>B6*B31</f>
        <v>6.1240000000000006</v>
      </c>
      <c r="E31" s="25">
        <f>B7*C31</f>
        <v>26.46</v>
      </c>
      <c r="F31" s="25">
        <f t="shared" si="1"/>
        <v>32.584</v>
      </c>
      <c r="G31" s="162">
        <v>5.452</v>
      </c>
      <c r="H31" s="162">
        <v>24.739</v>
      </c>
      <c r="I31" s="26">
        <f t="shared" si="2"/>
        <v>30.191000000000003</v>
      </c>
      <c r="J31" s="27">
        <f t="shared" si="0"/>
        <v>0.8902677988242977</v>
      </c>
      <c r="K31" s="27">
        <f t="shared" si="0"/>
        <v>0.9349584278155707</v>
      </c>
      <c r="L31" s="28">
        <f t="shared" si="0"/>
        <v>0.9265590473852198</v>
      </c>
      <c r="M31" s="165">
        <v>12045.38</v>
      </c>
      <c r="N31" s="29">
        <f t="shared" si="3"/>
        <v>398.9725414858732</v>
      </c>
    </row>
    <row r="32" spans="1:14" ht="12.75">
      <c r="A32" s="163" t="s">
        <v>13</v>
      </c>
      <c r="B32" s="24">
        <v>1</v>
      </c>
      <c r="C32" s="24">
        <v>1</v>
      </c>
      <c r="D32" s="25">
        <f>B6*B32</f>
        <v>1531</v>
      </c>
      <c r="E32" s="25">
        <f>B7*C32</f>
        <v>4410</v>
      </c>
      <c r="F32" s="25">
        <f t="shared" si="1"/>
        <v>5941</v>
      </c>
      <c r="G32" s="162">
        <v>1618.4</v>
      </c>
      <c r="H32" s="162">
        <v>3988.7</v>
      </c>
      <c r="I32" s="26">
        <f t="shared" si="2"/>
        <v>5607.1</v>
      </c>
      <c r="J32" s="27">
        <f t="shared" si="0"/>
        <v>1.057086871325931</v>
      </c>
      <c r="K32" s="27">
        <f t="shared" si="0"/>
        <v>0.9044671201814058</v>
      </c>
      <c r="L32" s="28">
        <f t="shared" si="0"/>
        <v>0.9437973405150649</v>
      </c>
      <c r="M32" s="165">
        <v>39351.89</v>
      </c>
      <c r="N32" s="29">
        <f t="shared" si="3"/>
        <v>7.01822510745305</v>
      </c>
    </row>
    <row r="33" spans="1:14" ht="12.75">
      <c r="A33" s="163" t="s">
        <v>14</v>
      </c>
      <c r="B33" s="24">
        <v>0.025</v>
      </c>
      <c r="C33" s="24">
        <v>0.029</v>
      </c>
      <c r="D33" s="25">
        <f>B6*B33</f>
        <v>38.275</v>
      </c>
      <c r="E33" s="25">
        <f>B7*C33</f>
        <v>127.89</v>
      </c>
      <c r="F33" s="25">
        <f t="shared" si="1"/>
        <v>166.165</v>
      </c>
      <c r="G33" s="162">
        <v>33.762</v>
      </c>
      <c r="H33" s="162">
        <v>121.536</v>
      </c>
      <c r="I33" s="26">
        <f t="shared" si="2"/>
        <v>155.298</v>
      </c>
      <c r="J33" s="27">
        <f t="shared" si="0"/>
        <v>0.8820901371652515</v>
      </c>
      <c r="K33" s="27">
        <f t="shared" si="0"/>
        <v>0.9503166783954962</v>
      </c>
      <c r="L33" s="28">
        <f t="shared" si="0"/>
        <v>0.9346011494598743</v>
      </c>
      <c r="M33" s="165">
        <v>4056.6</v>
      </c>
      <c r="N33" s="29">
        <f t="shared" si="3"/>
        <v>26.12139241973496</v>
      </c>
    </row>
    <row r="34" spans="1:14" ht="12.75">
      <c r="A34" s="163" t="s">
        <v>15</v>
      </c>
      <c r="B34" s="24">
        <v>0.03</v>
      </c>
      <c r="C34" s="24">
        <v>0.043</v>
      </c>
      <c r="D34" s="25">
        <f>B6*B34</f>
        <v>45.93</v>
      </c>
      <c r="E34" s="25">
        <f>B7*C34</f>
        <v>189.63</v>
      </c>
      <c r="F34" s="25">
        <f t="shared" si="1"/>
        <v>235.56</v>
      </c>
      <c r="G34" s="162">
        <f>3.439+5.073+15.16+3.975+6.102+0.39+5.25+1.215+10.512+2.916</f>
        <v>54.032000000000004</v>
      </c>
      <c r="H34" s="162">
        <f>12.804+21.214+53.537+13.95+21.748+1.808+16.856+3.91+39.095+9.16</f>
        <v>194.08200000000002</v>
      </c>
      <c r="I34" s="26">
        <f t="shared" si="2"/>
        <v>248.11400000000003</v>
      </c>
      <c r="J34" s="27">
        <f t="shared" si="0"/>
        <v>1.176398867842369</v>
      </c>
      <c r="K34" s="27">
        <f t="shared" si="0"/>
        <v>1.0234772978959026</v>
      </c>
      <c r="L34" s="28">
        <f t="shared" si="0"/>
        <v>1.053294277466463</v>
      </c>
      <c r="M34" s="165">
        <v>12666.3</v>
      </c>
      <c r="N34" s="29">
        <f t="shared" si="3"/>
        <v>51.050323641551856</v>
      </c>
    </row>
    <row r="35" spans="1:14" ht="12.75">
      <c r="A35" s="163" t="s">
        <v>16</v>
      </c>
      <c r="B35" s="24">
        <v>0.008</v>
      </c>
      <c r="C35" s="24">
        <v>0.012</v>
      </c>
      <c r="D35" s="25">
        <f>B6*B35</f>
        <v>12.248000000000001</v>
      </c>
      <c r="E35" s="25">
        <f>B7*C35</f>
        <v>52.92</v>
      </c>
      <c r="F35" s="25">
        <f t="shared" si="1"/>
        <v>65.168</v>
      </c>
      <c r="G35" s="162">
        <v>14.8</v>
      </c>
      <c r="H35" s="162">
        <v>51.223</v>
      </c>
      <c r="I35" s="26">
        <f t="shared" si="2"/>
        <v>66.023</v>
      </c>
      <c r="J35" s="27">
        <f t="shared" si="0"/>
        <v>1.2083605486610058</v>
      </c>
      <c r="K35" s="27">
        <f t="shared" si="0"/>
        <v>0.9679327286470143</v>
      </c>
      <c r="L35" s="28">
        <f t="shared" si="0"/>
        <v>1.0131199361649887</v>
      </c>
      <c r="M35" s="165">
        <v>2907.83</v>
      </c>
      <c r="N35" s="29">
        <f t="shared" si="3"/>
        <v>44.04268209563334</v>
      </c>
    </row>
    <row r="36" spans="1:14" ht="12.75">
      <c r="A36" s="163" t="s">
        <v>17</v>
      </c>
      <c r="B36" s="24">
        <v>0.025</v>
      </c>
      <c r="C36" s="24">
        <v>0.03</v>
      </c>
      <c r="D36" s="25">
        <f>B6*B36</f>
        <v>38.275</v>
      </c>
      <c r="E36" s="25">
        <f>B7*C36</f>
        <v>132.29999999999998</v>
      </c>
      <c r="F36" s="25">
        <f t="shared" si="1"/>
        <v>170.575</v>
      </c>
      <c r="G36" s="162">
        <v>29.671</v>
      </c>
      <c r="H36" s="162">
        <v>113.115</v>
      </c>
      <c r="I36" s="26">
        <f t="shared" si="2"/>
        <v>142.786</v>
      </c>
      <c r="J36" s="27">
        <f t="shared" si="0"/>
        <v>0.7752057478772044</v>
      </c>
      <c r="K36" s="27">
        <f t="shared" si="0"/>
        <v>0.8549886621315194</v>
      </c>
      <c r="L36" s="28">
        <f t="shared" si="0"/>
        <v>0.8370863256631981</v>
      </c>
      <c r="M36" s="165">
        <v>9140.57</v>
      </c>
      <c r="N36" s="29">
        <f t="shared" si="3"/>
        <v>64.0158699032118</v>
      </c>
    </row>
    <row r="37" spans="1:14" ht="12.75">
      <c r="A37" s="31" t="s">
        <v>18</v>
      </c>
      <c r="B37" s="24">
        <v>0.012</v>
      </c>
      <c r="C37" s="24">
        <v>0.02</v>
      </c>
      <c r="D37" s="25">
        <f>B6*B37</f>
        <v>18.372</v>
      </c>
      <c r="E37" s="25">
        <f>B7*C37</f>
        <v>88.2</v>
      </c>
      <c r="F37" s="25">
        <f t="shared" si="1"/>
        <v>106.572</v>
      </c>
      <c r="G37" s="162">
        <f>3.644+11.117</f>
        <v>14.761000000000001</v>
      </c>
      <c r="H37" s="162">
        <f>15.215+33.189</f>
        <v>48.403999999999996</v>
      </c>
      <c r="I37" s="26">
        <f t="shared" si="2"/>
        <v>63.165</v>
      </c>
      <c r="J37" s="27">
        <f t="shared" si="0"/>
        <v>0.8034509035488788</v>
      </c>
      <c r="K37" s="27">
        <f t="shared" si="0"/>
        <v>0.548798185941043</v>
      </c>
      <c r="L37" s="28">
        <f t="shared" si="0"/>
        <v>0.5926978943812633</v>
      </c>
      <c r="M37" s="166">
        <f>2154.53+4856.01</f>
        <v>7010.540000000001</v>
      </c>
      <c r="N37" s="29">
        <f t="shared" si="3"/>
        <v>110.98773054698015</v>
      </c>
    </row>
    <row r="38" spans="1:14" ht="12.75">
      <c r="A38" s="31" t="s">
        <v>19</v>
      </c>
      <c r="B38" s="24">
        <v>0.009</v>
      </c>
      <c r="C38" s="24">
        <v>0.011</v>
      </c>
      <c r="D38" s="25">
        <f>B6*B38</f>
        <v>13.778999999999998</v>
      </c>
      <c r="E38" s="25">
        <f>B7*C38</f>
        <v>48.51</v>
      </c>
      <c r="F38" s="25">
        <f t="shared" si="1"/>
        <v>62.288999999999994</v>
      </c>
      <c r="G38" s="162">
        <f>9.058+4.04</f>
        <v>13.097999999999999</v>
      </c>
      <c r="H38" s="162">
        <f>33.786+13.644</f>
        <v>47.43</v>
      </c>
      <c r="I38" s="26">
        <f t="shared" si="2"/>
        <v>60.528</v>
      </c>
      <c r="J38" s="27">
        <f t="shared" si="0"/>
        <v>0.950576964946658</v>
      </c>
      <c r="K38" s="27">
        <f t="shared" si="0"/>
        <v>0.9777365491651206</v>
      </c>
      <c r="L38" s="28">
        <f t="shared" si="0"/>
        <v>0.9717285556037182</v>
      </c>
      <c r="M38" s="166">
        <f>3718.07+3220.06</f>
        <v>6938.13</v>
      </c>
      <c r="N38" s="29">
        <f t="shared" si="3"/>
        <v>114.62678429817605</v>
      </c>
    </row>
    <row r="39" spans="1:14" ht="12.75">
      <c r="A39" s="31" t="s">
        <v>20</v>
      </c>
      <c r="B39" s="24">
        <v>0.095</v>
      </c>
      <c r="C39" s="24">
        <v>0.1</v>
      </c>
      <c r="D39" s="25">
        <f>B6*B39</f>
        <v>145.445</v>
      </c>
      <c r="E39" s="25">
        <f>B7*C39</f>
        <v>441</v>
      </c>
      <c r="F39" s="25">
        <f t="shared" si="1"/>
        <v>586.4449999999999</v>
      </c>
      <c r="G39" s="162">
        <v>157.416</v>
      </c>
      <c r="H39" s="162">
        <v>455.867</v>
      </c>
      <c r="I39" s="26">
        <f t="shared" si="2"/>
        <v>613.283</v>
      </c>
      <c r="J39" s="27">
        <f t="shared" si="0"/>
        <v>1.0823060263329782</v>
      </c>
      <c r="K39" s="27">
        <f t="shared" si="0"/>
        <v>1.0337120181405897</v>
      </c>
      <c r="L39" s="28">
        <f t="shared" si="0"/>
        <v>1.0457638823760116</v>
      </c>
      <c r="M39" s="166">
        <f>52240.8+4380.23+22025.76</f>
        <v>78646.79</v>
      </c>
      <c r="N39" s="29">
        <f t="shared" si="3"/>
        <v>128.23898591677903</v>
      </c>
    </row>
    <row r="40" spans="1:17" ht="12.75">
      <c r="A40" s="31" t="s">
        <v>21</v>
      </c>
      <c r="B40" s="24">
        <v>0.1</v>
      </c>
      <c r="C40" s="24">
        <v>0.1</v>
      </c>
      <c r="D40" s="25">
        <f>B6*B40</f>
        <v>153.1</v>
      </c>
      <c r="E40" s="25">
        <f>B7*C40</f>
        <v>441</v>
      </c>
      <c r="F40" s="25">
        <f t="shared" si="1"/>
        <v>594.1</v>
      </c>
      <c r="G40" s="162">
        <v>131</v>
      </c>
      <c r="H40" s="162">
        <v>406.8</v>
      </c>
      <c r="I40" s="26">
        <f t="shared" si="2"/>
        <v>537.8</v>
      </c>
      <c r="J40" s="27">
        <f t="shared" si="0"/>
        <v>0.8556499020248204</v>
      </c>
      <c r="K40" s="27">
        <f t="shared" si="0"/>
        <v>0.9224489795918368</v>
      </c>
      <c r="L40" s="28">
        <f t="shared" si="0"/>
        <v>0.9052348089547213</v>
      </c>
      <c r="M40" s="166">
        <f>18083.57+10642.56</f>
        <v>28726.129999999997</v>
      </c>
      <c r="N40" s="29">
        <f t="shared" si="3"/>
        <v>53.41415024172555</v>
      </c>
      <c r="Q40" s="167"/>
    </row>
    <row r="41" spans="1:14" ht="12.75">
      <c r="A41" s="163" t="s">
        <v>22</v>
      </c>
      <c r="B41" s="63">
        <v>0.12</v>
      </c>
      <c r="C41" s="63">
        <v>0.14</v>
      </c>
      <c r="D41" s="25">
        <f>B6*B41</f>
        <v>183.72</v>
      </c>
      <c r="E41" s="25">
        <f>B7*C41</f>
        <v>617.4000000000001</v>
      </c>
      <c r="F41" s="25">
        <f t="shared" si="1"/>
        <v>801.1200000000001</v>
      </c>
      <c r="G41" s="162">
        <v>163.25</v>
      </c>
      <c r="H41" s="162">
        <v>584.537</v>
      </c>
      <c r="I41" s="26">
        <f t="shared" si="2"/>
        <v>747.787</v>
      </c>
      <c r="J41" s="27">
        <f t="shared" si="0"/>
        <v>0.8885804485086001</v>
      </c>
      <c r="K41" s="27">
        <f t="shared" si="0"/>
        <v>0.9467719468739876</v>
      </c>
      <c r="L41" s="28">
        <f t="shared" si="0"/>
        <v>0.9334269522668264</v>
      </c>
      <c r="M41" s="165">
        <v>26929.08</v>
      </c>
      <c r="N41" s="29">
        <f t="shared" si="3"/>
        <v>36.011698518428375</v>
      </c>
    </row>
    <row r="42" spans="1:14" ht="12.75">
      <c r="A42" s="31" t="s">
        <v>23</v>
      </c>
      <c r="B42" s="24">
        <v>0.18</v>
      </c>
      <c r="C42" s="24">
        <v>0.22</v>
      </c>
      <c r="D42" s="25">
        <f>B6*B42</f>
        <v>275.58</v>
      </c>
      <c r="E42" s="25">
        <f>B7*C42</f>
        <v>970.2</v>
      </c>
      <c r="F42" s="25">
        <f t="shared" si="1"/>
        <v>1245.78</v>
      </c>
      <c r="G42" s="162">
        <f>10.468+7.115+76.247+32.437+41.192+10.525+18.843+34.724+3.009+8.014</f>
        <v>242.57399999999998</v>
      </c>
      <c r="H42" s="162">
        <f>36.824+24.649+253.19+121.469+162.194+37.352+81.182+133.829+12.306+26.631</f>
        <v>889.6260000000001</v>
      </c>
      <c r="I42" s="26">
        <f t="shared" si="2"/>
        <v>1132.2</v>
      </c>
      <c r="J42" s="27">
        <f t="shared" si="0"/>
        <v>0.8802307859786632</v>
      </c>
      <c r="K42" s="27">
        <f t="shared" si="0"/>
        <v>0.9169511440940012</v>
      </c>
      <c r="L42" s="28">
        <f t="shared" si="0"/>
        <v>0.9088282040167607</v>
      </c>
      <c r="M42" s="166">
        <v>67472.74</v>
      </c>
      <c r="N42" s="29">
        <f t="shared" si="3"/>
        <v>59.59436495318848</v>
      </c>
    </row>
    <row r="43" spans="1:14" ht="12.75">
      <c r="A43" s="163" t="s">
        <v>24</v>
      </c>
      <c r="B43" s="24">
        <v>0.04</v>
      </c>
      <c r="C43" s="24">
        <v>0.05</v>
      </c>
      <c r="D43" s="25">
        <f>B6*B43</f>
        <v>61.24</v>
      </c>
      <c r="E43" s="25">
        <f>B7*C43</f>
        <v>220.5</v>
      </c>
      <c r="F43" s="25">
        <f t="shared" si="1"/>
        <v>281.74</v>
      </c>
      <c r="G43" s="39">
        <v>61.45</v>
      </c>
      <c r="H43" s="39">
        <v>200.015</v>
      </c>
      <c r="I43" s="26">
        <f t="shared" si="2"/>
        <v>261.465</v>
      </c>
      <c r="J43" s="27">
        <f t="shared" si="0"/>
        <v>1.0034291312867407</v>
      </c>
      <c r="K43" s="27">
        <f t="shared" si="0"/>
        <v>0.9070975056689342</v>
      </c>
      <c r="L43" s="28">
        <f t="shared" si="0"/>
        <v>0.928036487541705</v>
      </c>
      <c r="M43" s="165">
        <v>14847.29</v>
      </c>
      <c r="N43" s="29">
        <f t="shared" si="3"/>
        <v>56.78499990438492</v>
      </c>
    </row>
    <row r="44" spans="1:14" ht="12.75">
      <c r="A44" s="164" t="s">
        <v>25</v>
      </c>
      <c r="B44" s="64">
        <v>0.06</v>
      </c>
      <c r="C44" s="64">
        <v>0.08</v>
      </c>
      <c r="D44" s="25">
        <f>B6*B44</f>
        <v>91.86</v>
      </c>
      <c r="E44" s="25">
        <f>B7*C44</f>
        <v>352.8</v>
      </c>
      <c r="F44" s="25">
        <f>D44+E44</f>
        <v>444.66</v>
      </c>
      <c r="G44" s="39">
        <f>45.87+39.163</f>
        <v>85.03299999999999</v>
      </c>
      <c r="H44" s="39">
        <f>131.26+168.985</f>
        <v>300.245</v>
      </c>
      <c r="I44" s="26">
        <f>G44+H44</f>
        <v>385.278</v>
      </c>
      <c r="J44" s="27">
        <f t="shared" si="0"/>
        <v>0.9256803831918134</v>
      </c>
      <c r="K44" s="27">
        <f t="shared" si="0"/>
        <v>0.8510345804988662</v>
      </c>
      <c r="L44" s="28">
        <f t="shared" si="0"/>
        <v>0.8664552691944407</v>
      </c>
      <c r="M44" s="165">
        <f>12677.93+15882.95</f>
        <v>28560.88</v>
      </c>
      <c r="N44" s="29">
        <f>IF(I44&gt;0,M44/I44,0)</f>
        <v>74.13057584393607</v>
      </c>
    </row>
    <row r="45" spans="1:14" s="20" customFormat="1" ht="12.75">
      <c r="A45" s="44" t="s">
        <v>54</v>
      </c>
      <c r="B45" s="45"/>
      <c r="C45" s="45"/>
      <c r="D45" s="46">
        <f>SUM(D22:D44)</f>
        <v>3499.8659999999995</v>
      </c>
      <c r="E45" s="46">
        <f>SUM(E22:E44)</f>
        <v>11091.15</v>
      </c>
      <c r="F45" s="46">
        <f>D45+E45</f>
        <v>14591.016</v>
      </c>
      <c r="G45" s="56">
        <f>SUM(G22:G44)</f>
        <v>3440.376</v>
      </c>
      <c r="H45" s="56">
        <f>SUM(H22:H44)</f>
        <v>10153.924</v>
      </c>
      <c r="I45" s="47">
        <f>G45+H45</f>
        <v>13594.300000000001</v>
      </c>
      <c r="J45" s="59">
        <f>IF(G45&gt;0,G45/D45,0)</f>
        <v>0.983002206370187</v>
      </c>
      <c r="K45" s="59">
        <f>IF(E45&gt;0,H45/E45,0)</f>
        <v>0.9154978518909221</v>
      </c>
      <c r="L45" s="59">
        <f>IF(F45&gt;0,I45/F45,0)</f>
        <v>0.9316897466221682</v>
      </c>
      <c r="M45" s="57">
        <f>SUM(SUM(M22:M44))</f>
        <v>854928.23</v>
      </c>
      <c r="N45" s="60"/>
    </row>
    <row r="46" ht="13.5" thickBot="1"/>
    <row r="47" spans="1:14" s="37" customFormat="1" ht="21" customHeight="1" thickBot="1">
      <c r="A47" s="33" t="s">
        <v>48</v>
      </c>
      <c r="B47" s="34">
        <f>SUM(B22:B24)</f>
        <v>0.09000000000000001</v>
      </c>
      <c r="C47" s="34">
        <f>SUM(C22:C24)</f>
        <v>0.10400000000000001</v>
      </c>
      <c r="D47" s="35">
        <f aca="true" t="shared" si="4" ref="D47:I47">SUM(D22:D24)</f>
        <v>137.79</v>
      </c>
      <c r="E47" s="35">
        <f t="shared" si="4"/>
        <v>458.64</v>
      </c>
      <c r="F47" s="35">
        <f t="shared" si="4"/>
        <v>596.4300000000001</v>
      </c>
      <c r="G47" s="35">
        <f t="shared" si="4"/>
        <v>122.86799999999998</v>
      </c>
      <c r="H47" s="35">
        <f t="shared" si="4"/>
        <v>425.59</v>
      </c>
      <c r="I47" s="35">
        <f t="shared" si="4"/>
        <v>548.458</v>
      </c>
      <c r="J47" s="61">
        <f>IF(G47=0,0,G47/D47)</f>
        <v>0.8917047681254081</v>
      </c>
      <c r="K47" s="61">
        <f>IF(H47=0,0,H47/E47)</f>
        <v>0.9279391243676958</v>
      </c>
      <c r="L47" s="61">
        <f>IF(I47&gt;0,I47/F47,0)</f>
        <v>0.9195680968428817</v>
      </c>
      <c r="M47" s="58">
        <f>SUM(M22:M24)</f>
        <v>160147.63</v>
      </c>
      <c r="N47" s="36">
        <f>IF(M47=0,0,M47/I47)</f>
        <v>291.9961601435297</v>
      </c>
    </row>
  </sheetData>
  <sheetProtection password="CC53" sheet="1" formatCells="0" formatColumns="0" formatRows="0" insertColumns="0" insertRows="0" insertHyperlinks="0" deleteColumns="0" deleteRows="0" sort="0" autoFilter="0" pivotTables="0"/>
  <mergeCells count="19">
    <mergeCell ref="M20:M21"/>
    <mergeCell ref="E2:G2"/>
    <mergeCell ref="A15:B15"/>
    <mergeCell ref="L15:M15"/>
    <mergeCell ref="C8:C10"/>
    <mergeCell ref="D8:F10"/>
    <mergeCell ref="A11:B11"/>
    <mergeCell ref="L13:N13"/>
    <mergeCell ref="L14:M14"/>
    <mergeCell ref="A1:G1"/>
    <mergeCell ref="L16:M16"/>
    <mergeCell ref="L17:M17"/>
    <mergeCell ref="A19:N19"/>
    <mergeCell ref="A20:A21"/>
    <mergeCell ref="B20:C20"/>
    <mergeCell ref="D20:F20"/>
    <mergeCell ref="G20:I20"/>
    <mergeCell ref="N20:N21"/>
    <mergeCell ref="J20:L20"/>
  </mergeCells>
  <printOptions horizontalCentered="1"/>
  <pageMargins left="0.31496062992125984" right="0.3937007874015748" top="1.0236220472440944" bottom="0.31496062992125984" header="0" footer="0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B8" sqref="B8"/>
    </sheetView>
  </sheetViews>
  <sheetFormatPr defaultColWidth="9.125" defaultRowHeight="12.75"/>
  <cols>
    <col min="1" max="1" width="32.625" style="2" customWidth="1"/>
    <col min="2" max="3" width="12.125" style="2" customWidth="1"/>
    <col min="4" max="12" width="11.375" style="2" customWidth="1"/>
    <col min="13" max="13" width="12.50390625" style="2" customWidth="1"/>
    <col min="14" max="14" width="11.375" style="2" customWidth="1"/>
    <col min="15" max="15" width="10.50390625" style="2" customWidth="1"/>
    <col min="16" max="16384" width="9.125" style="2" customWidth="1"/>
  </cols>
  <sheetData>
    <row r="1" spans="1:14" ht="24" customHeight="1">
      <c r="A1" s="171" t="s">
        <v>81</v>
      </c>
      <c r="B1" s="171"/>
      <c r="C1" s="171"/>
      <c r="D1" s="171"/>
      <c r="E1" s="171"/>
      <c r="F1" s="171"/>
      <c r="G1" s="171"/>
      <c r="H1" s="119">
        <f>янв!H1</f>
        <v>2023</v>
      </c>
      <c r="I1" s="1" t="s">
        <v>75</v>
      </c>
      <c r="J1" s="1"/>
      <c r="K1" s="1"/>
      <c r="L1" s="1"/>
      <c r="M1" s="1"/>
      <c r="N1" s="1"/>
    </row>
    <row r="2" spans="1:7" ht="12.75">
      <c r="A2" s="3" t="s">
        <v>26</v>
      </c>
      <c r="B2" s="157" t="s">
        <v>98</v>
      </c>
      <c r="E2" s="183" t="s">
        <v>55</v>
      </c>
      <c r="F2" s="183"/>
      <c r="G2" s="183"/>
    </row>
    <row r="3" spans="1:2" ht="12.75">
      <c r="A3" s="3" t="s">
        <v>0</v>
      </c>
      <c r="B3" s="38" t="s">
        <v>99</v>
      </c>
    </row>
    <row r="4" spans="1:2" ht="12.75">
      <c r="A4" s="4" t="s">
        <v>30</v>
      </c>
      <c r="B4" s="38">
        <v>448</v>
      </c>
    </row>
    <row r="5" spans="1:2" ht="12.75">
      <c r="A5" s="5" t="s">
        <v>28</v>
      </c>
      <c r="B5" s="140">
        <f>B6+B7</f>
        <v>6336</v>
      </c>
    </row>
    <row r="6" spans="1:2" ht="12.75">
      <c r="A6" s="6" t="s">
        <v>27</v>
      </c>
      <c r="B6" s="146">
        <v>1634</v>
      </c>
    </row>
    <row r="7" spans="1:2" ht="13.5" thickBot="1">
      <c r="A7" s="7" t="s">
        <v>29</v>
      </c>
      <c r="B7" s="147">
        <v>4702</v>
      </c>
    </row>
    <row r="8" spans="1:6" ht="12.75">
      <c r="A8" s="8" t="s">
        <v>31</v>
      </c>
      <c r="B8" s="132">
        <v>887925.37</v>
      </c>
      <c r="C8" s="184"/>
      <c r="D8" s="187"/>
      <c r="E8" s="183"/>
      <c r="F8" s="183"/>
    </row>
    <row r="9" spans="1:6" ht="12.75">
      <c r="A9" s="9" t="s">
        <v>32</v>
      </c>
      <c r="B9" s="133">
        <f>M45</f>
        <v>882336.3999999999</v>
      </c>
      <c r="C9" s="184"/>
      <c r="D9" s="187"/>
      <c r="E9" s="183"/>
      <c r="F9" s="183"/>
    </row>
    <row r="10" spans="1:6" ht="13.5" thickBot="1">
      <c r="A10" s="11" t="s">
        <v>33</v>
      </c>
      <c r="B10" s="134">
        <f>B8-B9</f>
        <v>5588.9700000000885</v>
      </c>
      <c r="C10" s="184"/>
      <c r="D10" s="187"/>
      <c r="E10" s="183"/>
      <c r="F10" s="183"/>
    </row>
    <row r="11" spans="1:3" ht="12.75">
      <c r="A11" s="185" t="s">
        <v>40</v>
      </c>
      <c r="B11" s="185"/>
      <c r="C11" s="12"/>
    </row>
    <row r="12" spans="1:3" ht="12.75">
      <c r="A12" s="3" t="s">
        <v>34</v>
      </c>
      <c r="B12" s="13">
        <v>131</v>
      </c>
      <c r="C12" s="12"/>
    </row>
    <row r="13" spans="1:14" ht="12.75" customHeight="1">
      <c r="A13" s="3" t="s">
        <v>2</v>
      </c>
      <c r="B13" s="131">
        <f>IF(M45&gt;0,B8/B5,0)</f>
        <v>140.13973642676768</v>
      </c>
      <c r="C13" s="12"/>
      <c r="L13" s="176" t="s">
        <v>49</v>
      </c>
      <c r="M13" s="176"/>
      <c r="N13" s="176"/>
    </row>
    <row r="14" spans="1:14" ht="12.75">
      <c r="A14" s="14" t="s">
        <v>3</v>
      </c>
      <c r="B14" s="15">
        <f>B13/B12</f>
        <v>1.0697689803570052</v>
      </c>
      <c r="E14" s="42"/>
      <c r="L14" s="177" t="s">
        <v>50</v>
      </c>
      <c r="M14" s="177"/>
      <c r="N14" s="41">
        <v>2</v>
      </c>
    </row>
    <row r="15" spans="1:14" ht="12.75">
      <c r="A15" s="182" t="s">
        <v>41</v>
      </c>
      <c r="B15" s="182"/>
      <c r="C15" s="12"/>
      <c r="E15" s="43"/>
      <c r="L15" s="177" t="s">
        <v>53</v>
      </c>
      <c r="M15" s="177"/>
      <c r="N15" s="41">
        <v>1.25</v>
      </c>
    </row>
    <row r="16" spans="1:14" ht="12.75">
      <c r="A16" s="3" t="s">
        <v>42</v>
      </c>
      <c r="B16" s="16">
        <f>J45</f>
        <v>0.8600560486854687</v>
      </c>
      <c r="C16" s="12"/>
      <c r="L16" s="177" t="s">
        <v>52</v>
      </c>
      <c r="M16" s="177"/>
      <c r="N16" s="41">
        <v>2.63</v>
      </c>
    </row>
    <row r="17" spans="1:14" ht="13.5" thickBot="1">
      <c r="A17" s="3" t="s">
        <v>43</v>
      </c>
      <c r="B17" s="17">
        <f>K45</f>
        <v>0.8779836506270751</v>
      </c>
      <c r="C17" s="12"/>
      <c r="L17" s="177" t="s">
        <v>51</v>
      </c>
      <c r="M17" s="177"/>
      <c r="N17" s="41">
        <v>8.33</v>
      </c>
    </row>
    <row r="18" spans="1:3" ht="18" thickBot="1">
      <c r="A18" s="18" t="s">
        <v>44</v>
      </c>
      <c r="B18" s="19">
        <f>L45</f>
        <v>0.8736801977577834</v>
      </c>
      <c r="C18" s="12"/>
    </row>
    <row r="19" spans="1:14" ht="18.75" customHeight="1">
      <c r="A19" s="174" t="s">
        <v>1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</row>
    <row r="20" spans="1:14" s="20" customFormat="1" ht="39" customHeight="1">
      <c r="A20" s="186"/>
      <c r="B20" s="179" t="s">
        <v>37</v>
      </c>
      <c r="C20" s="179"/>
      <c r="D20" s="178" t="s">
        <v>38</v>
      </c>
      <c r="E20" s="178"/>
      <c r="F20" s="179"/>
      <c r="G20" s="178" t="s">
        <v>39</v>
      </c>
      <c r="H20" s="179"/>
      <c r="I20" s="179"/>
      <c r="J20" s="180" t="s">
        <v>4</v>
      </c>
      <c r="K20" s="181"/>
      <c r="L20" s="181"/>
      <c r="M20" s="172" t="s">
        <v>46</v>
      </c>
      <c r="N20" s="172" t="s">
        <v>47</v>
      </c>
    </row>
    <row r="21" spans="1:14" s="20" customFormat="1" ht="12.75">
      <c r="A21" s="186"/>
      <c r="B21" s="48" t="s">
        <v>27</v>
      </c>
      <c r="C21" s="48" t="s">
        <v>29</v>
      </c>
      <c r="D21" s="21" t="s">
        <v>27</v>
      </c>
      <c r="E21" s="21" t="s">
        <v>29</v>
      </c>
      <c r="F21" s="21" t="s">
        <v>5</v>
      </c>
      <c r="G21" s="21" t="s">
        <v>27</v>
      </c>
      <c r="H21" s="21" t="s">
        <v>29</v>
      </c>
      <c r="I21" s="21" t="s">
        <v>5</v>
      </c>
      <c r="J21" s="21" t="s">
        <v>27</v>
      </c>
      <c r="K21" s="21" t="s">
        <v>29</v>
      </c>
      <c r="L21" s="22" t="s">
        <v>45</v>
      </c>
      <c r="M21" s="173"/>
      <c r="N21" s="173"/>
    </row>
    <row r="22" spans="1:14" ht="12.75">
      <c r="A22" s="163" t="s">
        <v>6</v>
      </c>
      <c r="B22" s="63">
        <v>0.05</v>
      </c>
      <c r="C22" s="63">
        <v>0.055</v>
      </c>
      <c r="D22" s="25">
        <f>B6*B22</f>
        <v>81.7</v>
      </c>
      <c r="E22" s="25">
        <f>B7*C22</f>
        <v>258.61</v>
      </c>
      <c r="F22" s="25">
        <f>D22+E22</f>
        <v>340.31</v>
      </c>
      <c r="G22" s="39">
        <v>82.17</v>
      </c>
      <c r="H22" s="39">
        <v>288.669</v>
      </c>
      <c r="I22" s="26">
        <f>G22+H22</f>
        <v>370.839</v>
      </c>
      <c r="J22" s="27">
        <f>IF(D22&gt;0,G22/D22,0)</f>
        <v>1.0057527539779683</v>
      </c>
      <c r="K22" s="27">
        <f>IF(E22&gt;0,H22/E22,0)</f>
        <v>1.1162329376280884</v>
      </c>
      <c r="L22" s="28">
        <f>IF(I22&gt;0,I22/F22,0)</f>
        <v>1.0897093826217272</v>
      </c>
      <c r="M22" s="40">
        <f>2255.16+111688.45</f>
        <v>113943.61</v>
      </c>
      <c r="N22" s="29">
        <f>IF(I22&gt;0,M22/I22,0)</f>
        <v>307.2589722224469</v>
      </c>
    </row>
    <row r="23" spans="1:14" ht="12.75">
      <c r="A23" s="163" t="s">
        <v>7</v>
      </c>
      <c r="B23" s="63">
        <v>0.02</v>
      </c>
      <c r="C23" s="63">
        <v>0.024</v>
      </c>
      <c r="D23" s="25">
        <f>B6*B23</f>
        <v>32.68</v>
      </c>
      <c r="E23" s="25">
        <f>B7*C23</f>
        <v>112.848</v>
      </c>
      <c r="F23" s="25">
        <f aca="true" t="shared" si="0" ref="F23:F43">D23+E23</f>
        <v>145.528</v>
      </c>
      <c r="G23" s="39">
        <v>30.86</v>
      </c>
      <c r="H23" s="39">
        <v>107.969</v>
      </c>
      <c r="I23" s="26">
        <f aca="true" t="shared" si="1" ref="I23:I43">G23+H23</f>
        <v>138.829</v>
      </c>
      <c r="J23" s="27">
        <f aca="true" t="shared" si="2" ref="J23:L44">IF(D23&gt;0,G23/D23,0)</f>
        <v>0.9443084455324358</v>
      </c>
      <c r="K23" s="27">
        <f t="shared" si="2"/>
        <v>0.956764851836098</v>
      </c>
      <c r="L23" s="28">
        <f t="shared" si="2"/>
        <v>0.9539676213512177</v>
      </c>
      <c r="M23" s="40">
        <v>31412.91</v>
      </c>
      <c r="N23" s="29">
        <f aca="true" t="shared" si="3" ref="N23:N43">IF(I23&gt;0,M23/I23,0)</f>
        <v>226.2705198481585</v>
      </c>
    </row>
    <row r="24" spans="1:14" ht="12.75">
      <c r="A24" s="163" t="s">
        <v>97</v>
      </c>
      <c r="B24" s="158">
        <v>0.02</v>
      </c>
      <c r="C24" s="63">
        <v>0.025</v>
      </c>
      <c r="D24" s="25">
        <f>B6*B24</f>
        <v>32.68</v>
      </c>
      <c r="E24" s="25">
        <f>B7*C24</f>
        <v>117.55000000000001</v>
      </c>
      <c r="F24" s="25">
        <f>D24+E24</f>
        <v>150.23000000000002</v>
      </c>
      <c r="G24" s="39">
        <v>23.956</v>
      </c>
      <c r="H24" s="39">
        <v>79.233</v>
      </c>
      <c r="I24" s="26">
        <f>G24+H24</f>
        <v>103.18900000000001</v>
      </c>
      <c r="J24" s="27">
        <f>IF(D24&gt;0,G24/D24,0)</f>
        <v>0.7330477356181151</v>
      </c>
      <c r="K24" s="27">
        <f>IF(E24&gt;0,H24/E24,0)</f>
        <v>0.6740365801786473</v>
      </c>
      <c r="L24" s="28">
        <f>IF(F24&gt;0,I24/F24,0)</f>
        <v>0.6868734606936031</v>
      </c>
      <c r="M24" s="40">
        <f>7948.79+20141.21</f>
        <v>28090</v>
      </c>
      <c r="N24" s="29">
        <f>IF(I24&gt;0,M24/I24,0)</f>
        <v>272.2189380651038</v>
      </c>
    </row>
    <row r="25" spans="1:14" ht="12.75">
      <c r="A25" s="163" t="s">
        <v>8</v>
      </c>
      <c r="B25" s="24">
        <v>0.032</v>
      </c>
      <c r="C25" s="24">
        <v>0.037</v>
      </c>
      <c r="D25" s="25">
        <f>B6*B25</f>
        <v>52.288000000000004</v>
      </c>
      <c r="E25" s="25">
        <f>B7*C25</f>
        <v>173.974</v>
      </c>
      <c r="F25" s="25">
        <f t="shared" si="0"/>
        <v>226.262</v>
      </c>
      <c r="G25" s="39">
        <v>45.182</v>
      </c>
      <c r="H25" s="39">
        <v>150</v>
      </c>
      <c r="I25" s="26">
        <f t="shared" si="1"/>
        <v>195.18200000000002</v>
      </c>
      <c r="J25" s="27">
        <f t="shared" si="2"/>
        <v>0.8640988372093023</v>
      </c>
      <c r="K25" s="27">
        <f t="shared" si="2"/>
        <v>0.8621977996712152</v>
      </c>
      <c r="L25" s="28">
        <f t="shared" si="2"/>
        <v>0.8626371197991709</v>
      </c>
      <c r="M25" s="40">
        <v>46780.8</v>
      </c>
      <c r="N25" s="29">
        <f t="shared" si="3"/>
        <v>239.67783914500313</v>
      </c>
    </row>
    <row r="26" spans="1:14" ht="12.75">
      <c r="A26" s="163" t="s">
        <v>35</v>
      </c>
      <c r="B26" s="24">
        <v>0.018</v>
      </c>
      <c r="C26" s="24">
        <v>0.021</v>
      </c>
      <c r="D26" s="25">
        <f>B6*B26</f>
        <v>29.412</v>
      </c>
      <c r="E26" s="25">
        <f>B7*C26</f>
        <v>98.742</v>
      </c>
      <c r="F26" s="25">
        <f t="shared" si="0"/>
        <v>128.154</v>
      </c>
      <c r="G26" s="39">
        <v>28</v>
      </c>
      <c r="H26" s="39">
        <v>92.472</v>
      </c>
      <c r="I26" s="26">
        <f t="shared" si="1"/>
        <v>120.472</v>
      </c>
      <c r="J26" s="27">
        <f t="shared" si="2"/>
        <v>0.9519923840609276</v>
      </c>
      <c r="K26" s="27">
        <f t="shared" si="2"/>
        <v>0.9365011849061189</v>
      </c>
      <c r="L26" s="28">
        <f t="shared" si="2"/>
        <v>0.9400564945300186</v>
      </c>
      <c r="M26" s="40">
        <v>78976.12</v>
      </c>
      <c r="N26" s="29">
        <f t="shared" si="3"/>
        <v>655.5558137990571</v>
      </c>
    </row>
    <row r="27" spans="1:14" ht="12.75">
      <c r="A27" s="163" t="s">
        <v>36</v>
      </c>
      <c r="B27" s="24">
        <v>0.009</v>
      </c>
      <c r="C27" s="24">
        <v>0.011</v>
      </c>
      <c r="D27" s="25">
        <f>B6*B27</f>
        <v>14.706</v>
      </c>
      <c r="E27" s="25">
        <f>B7*C27</f>
        <v>51.721999999999994</v>
      </c>
      <c r="F27" s="25">
        <f t="shared" si="0"/>
        <v>66.428</v>
      </c>
      <c r="G27" s="39">
        <v>13.173</v>
      </c>
      <c r="H27" s="39">
        <v>51.915</v>
      </c>
      <c r="I27" s="26">
        <f t="shared" si="1"/>
        <v>65.088</v>
      </c>
      <c r="J27" s="27">
        <f t="shared" si="2"/>
        <v>0.8957568339453285</v>
      </c>
      <c r="K27" s="27">
        <f t="shared" si="2"/>
        <v>1.003731487568153</v>
      </c>
      <c r="L27" s="28">
        <f t="shared" si="2"/>
        <v>0.9798277834648039</v>
      </c>
      <c r="M27" s="40">
        <v>7032.89</v>
      </c>
      <c r="N27" s="29">
        <f t="shared" si="3"/>
        <v>108.05202187807278</v>
      </c>
    </row>
    <row r="28" spans="1:14" ht="12.75">
      <c r="A28" s="164" t="s">
        <v>9</v>
      </c>
      <c r="B28" s="24">
        <v>0.39</v>
      </c>
      <c r="C28" s="24">
        <v>0.45</v>
      </c>
      <c r="D28" s="25">
        <f>B6*B28</f>
        <v>637.26</v>
      </c>
      <c r="E28" s="25">
        <f>B7*C28</f>
        <v>2115.9</v>
      </c>
      <c r="F28" s="25">
        <f t="shared" si="0"/>
        <v>2753.16</v>
      </c>
      <c r="G28" s="39">
        <v>568.655</v>
      </c>
      <c r="H28" s="39">
        <v>1857.73</v>
      </c>
      <c r="I28" s="26">
        <f t="shared" si="1"/>
        <v>2426.385</v>
      </c>
      <c r="J28" s="27">
        <f t="shared" si="2"/>
        <v>0.8923437843266484</v>
      </c>
      <c r="K28" s="27">
        <f t="shared" si="2"/>
        <v>0.8779857271137577</v>
      </c>
      <c r="L28" s="28">
        <f t="shared" si="2"/>
        <v>0.8813091138909472</v>
      </c>
      <c r="M28" s="40">
        <f>16128+110952.26+2942.94+23062.2</f>
        <v>153085.4</v>
      </c>
      <c r="N28" s="29">
        <f t="shared" si="3"/>
        <v>63.091966031771534</v>
      </c>
    </row>
    <row r="29" spans="1:14" ht="12.75">
      <c r="A29" s="163" t="s">
        <v>10</v>
      </c>
      <c r="B29" s="24">
        <v>0.03</v>
      </c>
      <c r="C29" s="24">
        <v>0.04</v>
      </c>
      <c r="D29" s="25">
        <f>B6*B29</f>
        <v>49.019999999999996</v>
      </c>
      <c r="E29" s="25">
        <f>B7*C29</f>
        <v>188.08</v>
      </c>
      <c r="F29" s="25">
        <f t="shared" si="0"/>
        <v>237.10000000000002</v>
      </c>
      <c r="G29" s="39">
        <v>42.126</v>
      </c>
      <c r="H29" s="39">
        <v>157.691</v>
      </c>
      <c r="I29" s="26">
        <f t="shared" si="1"/>
        <v>199.817</v>
      </c>
      <c r="J29" s="27">
        <f t="shared" si="2"/>
        <v>0.8593635250917993</v>
      </c>
      <c r="K29" s="27">
        <f t="shared" si="2"/>
        <v>0.8384251382390472</v>
      </c>
      <c r="L29" s="28">
        <f t="shared" si="2"/>
        <v>0.8427541121889498</v>
      </c>
      <c r="M29" s="40">
        <v>66943.8</v>
      </c>
      <c r="N29" s="29">
        <f t="shared" si="3"/>
        <v>335.02554837676473</v>
      </c>
    </row>
    <row r="30" spans="1:14" ht="12.75">
      <c r="A30" s="163" t="s">
        <v>11</v>
      </c>
      <c r="B30" s="24">
        <v>0.009</v>
      </c>
      <c r="C30" s="24">
        <v>0.011</v>
      </c>
      <c r="D30" s="25">
        <f>B6*B30</f>
        <v>14.706</v>
      </c>
      <c r="E30" s="25">
        <f>B7*C30</f>
        <v>51.721999999999994</v>
      </c>
      <c r="F30" s="25">
        <f t="shared" si="0"/>
        <v>66.428</v>
      </c>
      <c r="G30" s="39">
        <v>14.447</v>
      </c>
      <c r="H30" s="39">
        <v>51.745</v>
      </c>
      <c r="I30" s="26">
        <f t="shared" si="1"/>
        <v>66.192</v>
      </c>
      <c r="J30" s="27">
        <f t="shared" si="2"/>
        <v>0.9823881408948728</v>
      </c>
      <c r="K30" s="27">
        <f t="shared" si="2"/>
        <v>1.000444685046982</v>
      </c>
      <c r="L30" s="28">
        <f t="shared" si="2"/>
        <v>0.9964472812669356</v>
      </c>
      <c r="M30" s="40">
        <v>11848.35</v>
      </c>
      <c r="N30" s="29">
        <f t="shared" si="3"/>
        <v>178.9997280638144</v>
      </c>
    </row>
    <row r="31" spans="1:14" ht="12.75">
      <c r="A31" s="163" t="s">
        <v>12</v>
      </c>
      <c r="B31" s="24">
        <v>0.004</v>
      </c>
      <c r="C31" s="24">
        <v>0.006</v>
      </c>
      <c r="D31" s="25">
        <f>B6*B31</f>
        <v>6.5360000000000005</v>
      </c>
      <c r="E31" s="25">
        <f>B7*C31</f>
        <v>28.212</v>
      </c>
      <c r="F31" s="25">
        <f t="shared" si="0"/>
        <v>34.748</v>
      </c>
      <c r="G31" s="39">
        <v>5.324</v>
      </c>
      <c r="H31" s="39">
        <v>25.478</v>
      </c>
      <c r="I31" s="26">
        <f t="shared" si="1"/>
        <v>30.802</v>
      </c>
      <c r="J31" s="27">
        <f t="shared" si="2"/>
        <v>0.8145654834761321</v>
      </c>
      <c r="K31" s="27">
        <f t="shared" si="2"/>
        <v>0.9030908833120659</v>
      </c>
      <c r="L31" s="28">
        <f t="shared" si="2"/>
        <v>0.8864395073097733</v>
      </c>
      <c r="M31" s="40">
        <v>12289.19</v>
      </c>
      <c r="N31" s="29">
        <f t="shared" si="3"/>
        <v>398.973767937147</v>
      </c>
    </row>
    <row r="32" spans="1:14" ht="12.75">
      <c r="A32" s="163" t="s">
        <v>13</v>
      </c>
      <c r="B32" s="24">
        <v>1</v>
      </c>
      <c r="C32" s="24">
        <v>1</v>
      </c>
      <c r="D32" s="25">
        <f>B6*B32</f>
        <v>1634</v>
      </c>
      <c r="E32" s="25">
        <f>B7*C32</f>
        <v>4702</v>
      </c>
      <c r="F32" s="25">
        <f t="shared" si="0"/>
        <v>6336</v>
      </c>
      <c r="G32" s="39">
        <v>1281.8</v>
      </c>
      <c r="H32" s="39">
        <v>3845.4</v>
      </c>
      <c r="I32" s="26">
        <f t="shared" si="1"/>
        <v>5127.2</v>
      </c>
      <c r="J32" s="27">
        <f t="shared" si="2"/>
        <v>0.7844553243574051</v>
      </c>
      <c r="K32" s="27">
        <f t="shared" si="2"/>
        <v>0.8178222033177371</v>
      </c>
      <c r="L32" s="28">
        <f t="shared" si="2"/>
        <v>0.8092171717171717</v>
      </c>
      <c r="M32" s="40">
        <v>31982.24</v>
      </c>
      <c r="N32" s="29">
        <f t="shared" si="3"/>
        <v>6.237759400842566</v>
      </c>
    </row>
    <row r="33" spans="1:14" ht="12.75">
      <c r="A33" s="163" t="s">
        <v>14</v>
      </c>
      <c r="B33" s="24">
        <v>0.025</v>
      </c>
      <c r="C33" s="24">
        <v>0.029</v>
      </c>
      <c r="D33" s="25">
        <f>B6*B33</f>
        <v>40.85</v>
      </c>
      <c r="E33" s="25">
        <f>B7*C33</f>
        <v>136.358</v>
      </c>
      <c r="F33" s="25">
        <f t="shared" si="0"/>
        <v>177.208</v>
      </c>
      <c r="G33" s="39">
        <v>36.04</v>
      </c>
      <c r="H33" s="39">
        <v>130.647</v>
      </c>
      <c r="I33" s="26">
        <f t="shared" si="1"/>
        <v>166.68699999999998</v>
      </c>
      <c r="J33" s="27">
        <f t="shared" si="2"/>
        <v>0.8822521419828641</v>
      </c>
      <c r="K33" s="27">
        <f t="shared" si="2"/>
        <v>0.9581176021942239</v>
      </c>
      <c r="L33" s="28">
        <f t="shared" si="2"/>
        <v>0.9406290912374158</v>
      </c>
      <c r="M33" s="40">
        <v>4120.05</v>
      </c>
      <c r="N33" s="29">
        <f t="shared" si="3"/>
        <v>24.717284491292066</v>
      </c>
    </row>
    <row r="34" spans="1:14" ht="12.75">
      <c r="A34" s="163" t="s">
        <v>15</v>
      </c>
      <c r="B34" s="24">
        <v>0.03</v>
      </c>
      <c r="C34" s="24">
        <v>0.043</v>
      </c>
      <c r="D34" s="25">
        <f>B6*B34</f>
        <v>49.019999999999996</v>
      </c>
      <c r="E34" s="25">
        <f>B7*C34</f>
        <v>202.18599999999998</v>
      </c>
      <c r="F34" s="25">
        <f t="shared" si="0"/>
        <v>251.20599999999996</v>
      </c>
      <c r="G34" s="39">
        <v>55.674</v>
      </c>
      <c r="H34" s="39">
        <v>201.741</v>
      </c>
      <c r="I34" s="26">
        <f t="shared" si="1"/>
        <v>257.415</v>
      </c>
      <c r="J34" s="27">
        <f t="shared" si="2"/>
        <v>1.1357405140758874</v>
      </c>
      <c r="K34" s="27">
        <f t="shared" si="2"/>
        <v>0.9977990563144828</v>
      </c>
      <c r="L34" s="28">
        <f t="shared" si="2"/>
        <v>1.024716766319276</v>
      </c>
      <c r="M34" s="40">
        <v>12851.14</v>
      </c>
      <c r="N34" s="29">
        <f t="shared" si="3"/>
        <v>49.923819513237376</v>
      </c>
    </row>
    <row r="35" spans="1:14" ht="12.75">
      <c r="A35" s="163" t="s">
        <v>16</v>
      </c>
      <c r="B35" s="24">
        <v>0.008</v>
      </c>
      <c r="C35" s="24">
        <v>0.012</v>
      </c>
      <c r="D35" s="25">
        <f>B6*B35</f>
        <v>13.072000000000001</v>
      </c>
      <c r="E35" s="25">
        <f>B7*C35</f>
        <v>56.424</v>
      </c>
      <c r="F35" s="25">
        <f t="shared" si="0"/>
        <v>69.496</v>
      </c>
      <c r="G35" s="39">
        <v>18.907</v>
      </c>
      <c r="H35" s="39">
        <v>63.019</v>
      </c>
      <c r="I35" s="26">
        <f t="shared" si="1"/>
        <v>81.926</v>
      </c>
      <c r="J35" s="27">
        <f t="shared" si="2"/>
        <v>1.4463739290085678</v>
      </c>
      <c r="K35" s="27">
        <f t="shared" si="2"/>
        <v>1.116882886714873</v>
      </c>
      <c r="L35" s="28">
        <f t="shared" si="2"/>
        <v>1.1788592149188444</v>
      </c>
      <c r="M35" s="40">
        <v>3531.29</v>
      </c>
      <c r="N35" s="29">
        <f t="shared" si="3"/>
        <v>43.103410394746476</v>
      </c>
    </row>
    <row r="36" spans="1:14" ht="12.75">
      <c r="A36" s="163" t="s">
        <v>17</v>
      </c>
      <c r="B36" s="24">
        <v>0.025</v>
      </c>
      <c r="C36" s="24">
        <v>0.03</v>
      </c>
      <c r="D36" s="25">
        <f>B6*B36</f>
        <v>40.85</v>
      </c>
      <c r="E36" s="25">
        <f>B7*C36</f>
        <v>141.06</v>
      </c>
      <c r="F36" s="25">
        <f t="shared" si="0"/>
        <v>181.91</v>
      </c>
      <c r="G36" s="39">
        <v>32.733</v>
      </c>
      <c r="H36" s="39">
        <v>123.952</v>
      </c>
      <c r="I36" s="26">
        <f t="shared" si="1"/>
        <v>156.685</v>
      </c>
      <c r="J36" s="27">
        <f t="shared" si="2"/>
        <v>0.8012974296205629</v>
      </c>
      <c r="K36" s="27">
        <f t="shared" si="2"/>
        <v>0.8787182759109599</v>
      </c>
      <c r="L36" s="28">
        <f t="shared" si="2"/>
        <v>0.8613325270738278</v>
      </c>
      <c r="M36" s="40">
        <v>10165.05</v>
      </c>
      <c r="N36" s="29">
        <f t="shared" si="3"/>
        <v>64.87570603440022</v>
      </c>
    </row>
    <row r="37" spans="1:14" ht="12.75">
      <c r="A37" s="163" t="s">
        <v>18</v>
      </c>
      <c r="B37" s="24">
        <v>0.012</v>
      </c>
      <c r="C37" s="24">
        <v>0.02</v>
      </c>
      <c r="D37" s="25">
        <f>B6*B37</f>
        <v>19.608</v>
      </c>
      <c r="E37" s="25">
        <f>B7*C37</f>
        <v>94.04</v>
      </c>
      <c r="F37" s="25">
        <f t="shared" si="0"/>
        <v>113.64800000000001</v>
      </c>
      <c r="G37" s="39">
        <v>16.753</v>
      </c>
      <c r="H37" s="39">
        <v>52.18</v>
      </c>
      <c r="I37" s="26">
        <f t="shared" si="1"/>
        <v>68.93299999999999</v>
      </c>
      <c r="J37" s="27">
        <f t="shared" si="2"/>
        <v>0.8543961648306814</v>
      </c>
      <c r="K37" s="27">
        <f t="shared" si="2"/>
        <v>0.5548702679710761</v>
      </c>
      <c r="L37" s="28">
        <f t="shared" si="2"/>
        <v>0.6065482894551597</v>
      </c>
      <c r="M37" s="156">
        <f>2126.89+5562.92</f>
        <v>7689.8099999999995</v>
      </c>
      <c r="N37" s="29">
        <f t="shared" si="3"/>
        <v>111.55484310852567</v>
      </c>
    </row>
    <row r="38" spans="1:14" ht="12.75">
      <c r="A38" s="163" t="s">
        <v>19</v>
      </c>
      <c r="B38" s="24">
        <v>0.009</v>
      </c>
      <c r="C38" s="24">
        <v>0.011</v>
      </c>
      <c r="D38" s="25">
        <f>B6*B38</f>
        <v>14.706</v>
      </c>
      <c r="E38" s="25">
        <f>B7*C38</f>
        <v>51.721999999999994</v>
      </c>
      <c r="F38" s="25">
        <f t="shared" si="0"/>
        <v>66.428</v>
      </c>
      <c r="G38" s="39">
        <v>13.234</v>
      </c>
      <c r="H38" s="39">
        <v>48.727</v>
      </c>
      <c r="I38" s="26">
        <f t="shared" si="1"/>
        <v>61.961</v>
      </c>
      <c r="J38" s="27">
        <f t="shared" si="2"/>
        <v>0.899904800761594</v>
      </c>
      <c r="K38" s="27">
        <f t="shared" si="2"/>
        <v>0.9420942732299602</v>
      </c>
      <c r="L38" s="28">
        <f t="shared" si="2"/>
        <v>0.932754260251701</v>
      </c>
      <c r="M38" s="40">
        <f>3722.58+3280.12</f>
        <v>7002.7</v>
      </c>
      <c r="N38" s="29">
        <f t="shared" si="3"/>
        <v>113.01786607704847</v>
      </c>
    </row>
    <row r="39" spans="1:14" ht="12.75">
      <c r="A39" s="163" t="s">
        <v>20</v>
      </c>
      <c r="B39" s="24">
        <v>0.095</v>
      </c>
      <c r="C39" s="24">
        <v>0.1</v>
      </c>
      <c r="D39" s="25">
        <f>B6*B39</f>
        <v>155.23</v>
      </c>
      <c r="E39" s="25">
        <f>B7*C39</f>
        <v>470.20000000000005</v>
      </c>
      <c r="F39" s="25">
        <f t="shared" si="0"/>
        <v>625.4300000000001</v>
      </c>
      <c r="G39" s="39">
        <f>78.42+7.323+82.457</f>
        <v>168.2</v>
      </c>
      <c r="H39" s="39">
        <f>221.432+24.158+265.803</f>
        <v>511.393</v>
      </c>
      <c r="I39" s="26">
        <f t="shared" si="1"/>
        <v>679.593</v>
      </c>
      <c r="J39" s="27">
        <f t="shared" si="2"/>
        <v>1.0835534368356632</v>
      </c>
      <c r="K39" s="27">
        <f t="shared" si="2"/>
        <v>1.0876074011059123</v>
      </c>
      <c r="L39" s="28">
        <f t="shared" si="2"/>
        <v>1.086601218361767</v>
      </c>
      <c r="M39" s="40">
        <f>51403.2+5355.98+25880.54</f>
        <v>82639.72</v>
      </c>
      <c r="N39" s="29">
        <f t="shared" si="3"/>
        <v>121.60178224319557</v>
      </c>
    </row>
    <row r="40" spans="1:14" ht="12.75">
      <c r="A40" s="163" t="s">
        <v>21</v>
      </c>
      <c r="B40" s="24">
        <v>0.1</v>
      </c>
      <c r="C40" s="24">
        <v>0.1</v>
      </c>
      <c r="D40" s="25">
        <f>B6*B40</f>
        <v>163.4</v>
      </c>
      <c r="E40" s="25">
        <f>B7*C40</f>
        <v>470.20000000000005</v>
      </c>
      <c r="F40" s="25">
        <f t="shared" si="0"/>
        <v>633.6</v>
      </c>
      <c r="G40" s="39">
        <v>151</v>
      </c>
      <c r="H40" s="39">
        <v>471.2</v>
      </c>
      <c r="I40" s="26">
        <f t="shared" si="1"/>
        <v>622.2</v>
      </c>
      <c r="J40" s="27">
        <f t="shared" si="2"/>
        <v>0.9241126070991432</v>
      </c>
      <c r="K40" s="27">
        <f t="shared" si="2"/>
        <v>1.0021267545725223</v>
      </c>
      <c r="L40" s="28">
        <f t="shared" si="2"/>
        <v>0.9820075757575758</v>
      </c>
      <c r="M40" s="40">
        <f>20717.29+13367.53</f>
        <v>34084.82</v>
      </c>
      <c r="N40" s="29">
        <f t="shared" si="3"/>
        <v>54.78113146898103</v>
      </c>
    </row>
    <row r="41" spans="1:14" ht="12.75">
      <c r="A41" s="163" t="s">
        <v>22</v>
      </c>
      <c r="B41" s="63">
        <v>0.12</v>
      </c>
      <c r="C41" s="63">
        <v>0.14</v>
      </c>
      <c r="D41" s="25">
        <f>B6*B41</f>
        <v>196.07999999999998</v>
      </c>
      <c r="E41" s="25">
        <f>B7*C41</f>
        <v>658.2800000000001</v>
      </c>
      <c r="F41" s="25">
        <f t="shared" si="0"/>
        <v>854.3600000000001</v>
      </c>
      <c r="G41" s="39">
        <v>164.616</v>
      </c>
      <c r="H41" s="39">
        <v>601.964</v>
      </c>
      <c r="I41" s="26">
        <f t="shared" si="1"/>
        <v>766.58</v>
      </c>
      <c r="J41" s="27">
        <f t="shared" si="2"/>
        <v>0.8395348837209303</v>
      </c>
      <c r="K41" s="27">
        <f t="shared" si="2"/>
        <v>0.9144497782098803</v>
      </c>
      <c r="L41" s="28">
        <f t="shared" si="2"/>
        <v>0.8972564258626339</v>
      </c>
      <c r="M41" s="40">
        <v>28107.22</v>
      </c>
      <c r="N41" s="29">
        <f t="shared" si="3"/>
        <v>36.66573612669258</v>
      </c>
    </row>
    <row r="42" spans="1:14" ht="12.75">
      <c r="A42" s="163" t="s">
        <v>23</v>
      </c>
      <c r="B42" s="24">
        <v>0.18</v>
      </c>
      <c r="C42" s="24">
        <v>0.22</v>
      </c>
      <c r="D42" s="25">
        <f>B6*B42</f>
        <v>294.12</v>
      </c>
      <c r="E42" s="25">
        <f>B7*C42</f>
        <v>1034.44</v>
      </c>
      <c r="F42" s="25">
        <f t="shared" si="0"/>
        <v>1328.56</v>
      </c>
      <c r="G42" s="39">
        <v>253.255</v>
      </c>
      <c r="H42" s="39">
        <v>934.156</v>
      </c>
      <c r="I42" s="26">
        <f t="shared" si="1"/>
        <v>1187.411</v>
      </c>
      <c r="J42" s="27">
        <f t="shared" si="2"/>
        <v>0.8610601115191078</v>
      </c>
      <c r="K42" s="27">
        <f t="shared" si="2"/>
        <v>0.9030547929314411</v>
      </c>
      <c r="L42" s="28">
        <f t="shared" si="2"/>
        <v>0.8937579032937919</v>
      </c>
      <c r="M42" s="40">
        <f>8192.51+2922.01+8879.57+8413.43+6884.08+4059.73+2406.24+11764.09+5551.88+1465+4294.44</f>
        <v>64832.98</v>
      </c>
      <c r="N42" s="29">
        <f t="shared" si="3"/>
        <v>54.60028583194867</v>
      </c>
    </row>
    <row r="43" spans="1:14" ht="12.75">
      <c r="A43" s="163" t="s">
        <v>24</v>
      </c>
      <c r="B43" s="24">
        <v>0.04</v>
      </c>
      <c r="C43" s="24">
        <v>0.05</v>
      </c>
      <c r="D43" s="25">
        <f>B6*B43</f>
        <v>65.36</v>
      </c>
      <c r="E43" s="25">
        <f>B7*C43</f>
        <v>235.10000000000002</v>
      </c>
      <c r="F43" s="25">
        <f t="shared" si="0"/>
        <v>300.46000000000004</v>
      </c>
      <c r="G43" s="39">
        <v>65.408</v>
      </c>
      <c r="H43" s="39">
        <v>212.776</v>
      </c>
      <c r="I43" s="26">
        <f t="shared" si="1"/>
        <v>278.184</v>
      </c>
      <c r="J43" s="27">
        <f t="shared" si="2"/>
        <v>1.000734394124847</v>
      </c>
      <c r="K43" s="27">
        <f t="shared" si="2"/>
        <v>0.905044661846023</v>
      </c>
      <c r="L43" s="28">
        <f t="shared" si="2"/>
        <v>0.9258603474672169</v>
      </c>
      <c r="M43" s="40">
        <v>15339.11</v>
      </c>
      <c r="N43" s="29">
        <f t="shared" si="3"/>
        <v>55.14015903143243</v>
      </c>
    </row>
    <row r="44" spans="1:14" ht="12.75">
      <c r="A44" s="164" t="s">
        <v>25</v>
      </c>
      <c r="B44" s="64">
        <v>0.06</v>
      </c>
      <c r="C44" s="64">
        <v>0.08</v>
      </c>
      <c r="D44" s="25">
        <f>B6*B44</f>
        <v>98.03999999999999</v>
      </c>
      <c r="E44" s="25">
        <f>B7*C44</f>
        <v>376.16</v>
      </c>
      <c r="F44" s="25">
        <f>D44+E44</f>
        <v>474.20000000000005</v>
      </c>
      <c r="G44" s="39">
        <f>48.82+52.255</f>
        <v>101.075</v>
      </c>
      <c r="H44" s="39">
        <f>322.565</f>
        <v>322.565</v>
      </c>
      <c r="I44" s="26">
        <f>G44+H44</f>
        <v>423.64</v>
      </c>
      <c r="J44" s="27">
        <f t="shared" si="2"/>
        <v>1.0309567523459813</v>
      </c>
      <c r="K44" s="27">
        <f t="shared" si="2"/>
        <v>0.857520735857082</v>
      </c>
      <c r="L44" s="28">
        <f t="shared" si="2"/>
        <v>0.8933783213833825</v>
      </c>
      <c r="M44" s="40">
        <f>16378.79+13208.41</f>
        <v>29587.2</v>
      </c>
      <c r="N44" s="29">
        <f>IF(I44&gt;0,M44/I44,0)</f>
        <v>69.84043055424418</v>
      </c>
    </row>
    <row r="45" spans="1:14" s="20" customFormat="1" ht="12.75">
      <c r="A45" s="44" t="s">
        <v>54</v>
      </c>
      <c r="B45" s="45"/>
      <c r="C45" s="45"/>
      <c r="D45" s="46">
        <f>SUM(D22:D44)</f>
        <v>3735.324</v>
      </c>
      <c r="E45" s="46">
        <f>SUM(E22:E44)</f>
        <v>11825.530000000004</v>
      </c>
      <c r="F45" s="46">
        <f>D45+E45</f>
        <v>15560.854000000005</v>
      </c>
      <c r="G45" s="56">
        <f>SUM(G22:G44)</f>
        <v>3212.5879999999997</v>
      </c>
      <c r="H45" s="56">
        <f>SUM(H22:H44)</f>
        <v>10382.622</v>
      </c>
      <c r="I45" s="47">
        <f>G45+H45</f>
        <v>13595.21</v>
      </c>
      <c r="J45" s="59">
        <f>IF(G45&gt;0,G45/D45,0)</f>
        <v>0.8600560486854687</v>
      </c>
      <c r="K45" s="59">
        <f>IF(E45&gt;0,H45/E45,0)</f>
        <v>0.8779836506270751</v>
      </c>
      <c r="L45" s="59">
        <f>IF(F45&gt;0,I45/F45,0)</f>
        <v>0.8736801977577834</v>
      </c>
      <c r="M45" s="57">
        <f>SUM(SUM(M22:M44))</f>
        <v>882336.3999999999</v>
      </c>
      <c r="N45" s="60"/>
    </row>
    <row r="46" ht="13.5" thickBot="1"/>
    <row r="47" spans="1:14" s="37" customFormat="1" ht="21" customHeight="1" thickBot="1">
      <c r="A47" s="33" t="s">
        <v>48</v>
      </c>
      <c r="B47" s="34">
        <f>SUM(B22:B24)</f>
        <v>0.09000000000000001</v>
      </c>
      <c r="C47" s="34">
        <f>SUM(C22:C24)</f>
        <v>0.10400000000000001</v>
      </c>
      <c r="D47" s="35">
        <f aca="true" t="shared" si="4" ref="D47:I47">SUM(D22:D24)</f>
        <v>147.06</v>
      </c>
      <c r="E47" s="35">
        <f t="shared" si="4"/>
        <v>489.00800000000004</v>
      </c>
      <c r="F47" s="35">
        <f t="shared" si="4"/>
        <v>636.068</v>
      </c>
      <c r="G47" s="35">
        <f t="shared" si="4"/>
        <v>136.986</v>
      </c>
      <c r="H47" s="35">
        <f t="shared" si="4"/>
        <v>475.871</v>
      </c>
      <c r="I47" s="35">
        <f t="shared" si="4"/>
        <v>612.857</v>
      </c>
      <c r="J47" s="61">
        <f>IF(G47=0,0,G47/D47)</f>
        <v>0.9314973480212158</v>
      </c>
      <c r="K47" s="61">
        <f>IF(H47=0,0,H47/E47)</f>
        <v>0.9731354088276674</v>
      </c>
      <c r="L47" s="61">
        <f>IF(I47&gt;0,I47/F47,0)</f>
        <v>0.9635086185753724</v>
      </c>
      <c r="M47" s="58">
        <f>SUM(M22:M24)</f>
        <v>173446.52</v>
      </c>
      <c r="N47" s="36">
        <f>IF(M47=0,0,M47/I47)</f>
        <v>283.01303566737425</v>
      </c>
    </row>
  </sheetData>
  <sheetProtection password="CC53" sheet="1" formatCells="0" formatColumns="0" formatRows="0" insertColumns="0" insertRows="0" insertHyperlinks="0" deleteColumns="0" deleteRows="0" sort="0" autoFilter="0" pivotTables="0"/>
  <mergeCells count="19">
    <mergeCell ref="M20:M21"/>
    <mergeCell ref="E2:G2"/>
    <mergeCell ref="A15:B15"/>
    <mergeCell ref="L15:M15"/>
    <mergeCell ref="C8:C10"/>
    <mergeCell ref="D8:F10"/>
    <mergeCell ref="A11:B11"/>
    <mergeCell ref="L13:N13"/>
    <mergeCell ref="L14:M14"/>
    <mergeCell ref="A1:G1"/>
    <mergeCell ref="L16:M16"/>
    <mergeCell ref="L17:M17"/>
    <mergeCell ref="A19:N19"/>
    <mergeCell ref="A20:A21"/>
    <mergeCell ref="B20:C20"/>
    <mergeCell ref="D20:F20"/>
    <mergeCell ref="G20:I20"/>
    <mergeCell ref="N20:N21"/>
    <mergeCell ref="J20:L20"/>
  </mergeCells>
  <printOptions horizontalCentered="1" verticalCentered="1"/>
  <pageMargins left="0.31496062992125984" right="0.31496062992125984" top="0.5905511811023623" bottom="0.1968503937007874" header="0.5118110236220472" footer="0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9">
      <selection activeCell="H39" sqref="H39"/>
    </sheetView>
  </sheetViews>
  <sheetFormatPr defaultColWidth="9.125" defaultRowHeight="12.75"/>
  <cols>
    <col min="1" max="1" width="32.625" style="2" customWidth="1"/>
    <col min="2" max="3" width="12.125" style="2" customWidth="1"/>
    <col min="4" max="12" width="11.375" style="2" customWidth="1"/>
    <col min="13" max="13" width="12.50390625" style="2" customWidth="1"/>
    <col min="14" max="14" width="11.375" style="2" customWidth="1"/>
    <col min="15" max="15" width="10.50390625" style="2" customWidth="1"/>
    <col min="16" max="16384" width="9.125" style="2" customWidth="1"/>
  </cols>
  <sheetData>
    <row r="1" spans="1:14" ht="24" customHeight="1">
      <c r="A1" s="171" t="s">
        <v>80</v>
      </c>
      <c r="B1" s="171"/>
      <c r="C1" s="171"/>
      <c r="D1" s="171"/>
      <c r="E1" s="171"/>
      <c r="F1" s="171"/>
      <c r="G1" s="171"/>
      <c r="H1" s="119">
        <f>янв!H1</f>
        <v>2023</v>
      </c>
      <c r="I1" s="1" t="s">
        <v>75</v>
      </c>
      <c r="J1" s="1"/>
      <c r="K1" s="1"/>
      <c r="L1" s="1"/>
      <c r="M1" s="1"/>
      <c r="N1" s="1"/>
    </row>
    <row r="2" spans="1:7" ht="12.75">
      <c r="A2" s="3" t="s">
        <v>26</v>
      </c>
      <c r="B2" s="157" t="s">
        <v>98</v>
      </c>
      <c r="E2" s="183" t="s">
        <v>55</v>
      </c>
      <c r="F2" s="183"/>
      <c r="G2" s="183"/>
    </row>
    <row r="3" spans="1:2" ht="12.75">
      <c r="A3" s="3" t="s">
        <v>0</v>
      </c>
      <c r="B3" s="38" t="s">
        <v>99</v>
      </c>
    </row>
    <row r="4" spans="1:2" ht="12.75">
      <c r="A4" s="4" t="s">
        <v>30</v>
      </c>
      <c r="B4" s="38">
        <v>448</v>
      </c>
    </row>
    <row r="5" spans="1:2" ht="12.75">
      <c r="A5" s="5" t="s">
        <v>28</v>
      </c>
      <c r="B5" s="140">
        <f>B6+B7</f>
        <v>5695</v>
      </c>
    </row>
    <row r="6" spans="1:2" ht="12.75">
      <c r="A6" s="6" t="s">
        <v>27</v>
      </c>
      <c r="B6" s="146">
        <v>1560</v>
      </c>
    </row>
    <row r="7" spans="1:2" ht="13.5" thickBot="1">
      <c r="A7" s="7" t="s">
        <v>29</v>
      </c>
      <c r="B7" s="147">
        <v>4135</v>
      </c>
    </row>
    <row r="8" spans="1:6" ht="12.75">
      <c r="A8" s="8" t="s">
        <v>31</v>
      </c>
      <c r="B8" s="132">
        <v>796232.68</v>
      </c>
      <c r="C8" s="184"/>
      <c r="D8" s="187"/>
      <c r="E8" s="183"/>
      <c r="F8" s="183"/>
    </row>
    <row r="9" spans="1:6" ht="12.75">
      <c r="A9" s="9" t="s">
        <v>32</v>
      </c>
      <c r="B9" s="133">
        <f>M45</f>
        <v>791119.3200000001</v>
      </c>
      <c r="C9" s="184"/>
      <c r="D9" s="187"/>
      <c r="E9" s="183"/>
      <c r="F9" s="183"/>
    </row>
    <row r="10" spans="1:6" ht="13.5" thickBot="1">
      <c r="A10" s="11" t="s">
        <v>33</v>
      </c>
      <c r="B10" s="134">
        <f>B8-B9</f>
        <v>5113.359999999986</v>
      </c>
      <c r="C10" s="184"/>
      <c r="D10" s="187"/>
      <c r="E10" s="183"/>
      <c r="F10" s="183"/>
    </row>
    <row r="11" spans="1:3" ht="12.75">
      <c r="A11" s="185" t="s">
        <v>40</v>
      </c>
      <c r="B11" s="185"/>
      <c r="C11" s="12"/>
    </row>
    <row r="12" spans="1:3" ht="12.75">
      <c r="A12" s="3" t="s">
        <v>34</v>
      </c>
      <c r="B12" s="13">
        <v>131</v>
      </c>
      <c r="C12" s="12"/>
    </row>
    <row r="13" spans="1:14" ht="12.75" customHeight="1">
      <c r="A13" s="3" t="s">
        <v>2</v>
      </c>
      <c r="B13" s="131">
        <f>IF(M45&gt;0,B8/B5,0)</f>
        <v>139.81258647936787</v>
      </c>
      <c r="C13" s="12"/>
      <c r="L13" s="176" t="s">
        <v>49</v>
      </c>
      <c r="M13" s="176"/>
      <c r="N13" s="176"/>
    </row>
    <row r="14" spans="1:14" ht="12.75">
      <c r="A14" s="14" t="s">
        <v>3</v>
      </c>
      <c r="B14" s="15">
        <f>B13/B12</f>
        <v>1.0672716525142585</v>
      </c>
      <c r="E14" s="42"/>
      <c r="L14" s="177" t="s">
        <v>50</v>
      </c>
      <c r="M14" s="177"/>
      <c r="N14" s="41">
        <v>2</v>
      </c>
    </row>
    <row r="15" spans="1:14" ht="12.75">
      <c r="A15" s="182" t="s">
        <v>41</v>
      </c>
      <c r="B15" s="182"/>
      <c r="C15" s="12"/>
      <c r="E15" s="43"/>
      <c r="L15" s="177" t="s">
        <v>53</v>
      </c>
      <c r="M15" s="177"/>
      <c r="N15" s="41">
        <v>1.25</v>
      </c>
    </row>
    <row r="16" spans="1:14" ht="12.75">
      <c r="A16" s="3" t="s">
        <v>42</v>
      </c>
      <c r="B16" s="16">
        <f>J45</f>
        <v>0.9054843304843307</v>
      </c>
      <c r="C16" s="12"/>
      <c r="L16" s="177" t="s">
        <v>52</v>
      </c>
      <c r="M16" s="177"/>
      <c r="N16" s="41">
        <v>2.63</v>
      </c>
    </row>
    <row r="17" spans="1:14" ht="13.5" thickBot="1">
      <c r="A17" s="3" t="s">
        <v>43</v>
      </c>
      <c r="B17" s="17">
        <f>K45</f>
        <v>0.9394623312122429</v>
      </c>
      <c r="C17" s="12"/>
      <c r="L17" s="177" t="s">
        <v>51</v>
      </c>
      <c r="M17" s="177"/>
      <c r="N17" s="41">
        <v>8.33</v>
      </c>
    </row>
    <row r="18" spans="1:3" ht="18" thickBot="1">
      <c r="A18" s="18" t="s">
        <v>44</v>
      </c>
      <c r="B18" s="19">
        <f>L45</f>
        <v>0.9307859943855243</v>
      </c>
      <c r="C18" s="12"/>
    </row>
    <row r="19" spans="1:14" ht="18.75" customHeight="1">
      <c r="A19" s="174" t="s">
        <v>1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</row>
    <row r="20" spans="1:14" s="20" customFormat="1" ht="39" customHeight="1">
      <c r="A20" s="186"/>
      <c r="B20" s="179" t="s">
        <v>37</v>
      </c>
      <c r="C20" s="179"/>
      <c r="D20" s="178" t="s">
        <v>38</v>
      </c>
      <c r="E20" s="178"/>
      <c r="F20" s="179"/>
      <c r="G20" s="178" t="s">
        <v>39</v>
      </c>
      <c r="H20" s="179"/>
      <c r="I20" s="179"/>
      <c r="J20" s="180" t="s">
        <v>4</v>
      </c>
      <c r="K20" s="181"/>
      <c r="L20" s="181"/>
      <c r="M20" s="172" t="s">
        <v>46</v>
      </c>
      <c r="N20" s="172" t="s">
        <v>47</v>
      </c>
    </row>
    <row r="21" spans="1:14" s="20" customFormat="1" ht="12.75">
      <c r="A21" s="186"/>
      <c r="B21" s="48" t="s">
        <v>27</v>
      </c>
      <c r="C21" s="48" t="s">
        <v>29</v>
      </c>
      <c r="D21" s="21" t="s">
        <v>27</v>
      </c>
      <c r="E21" s="21" t="s">
        <v>29</v>
      </c>
      <c r="F21" s="21" t="s">
        <v>5</v>
      </c>
      <c r="G21" s="21" t="s">
        <v>27</v>
      </c>
      <c r="H21" s="21" t="s">
        <v>29</v>
      </c>
      <c r="I21" s="21" t="s">
        <v>5</v>
      </c>
      <c r="J21" s="21" t="s">
        <v>27</v>
      </c>
      <c r="K21" s="21" t="s">
        <v>29</v>
      </c>
      <c r="L21" s="22" t="s">
        <v>45</v>
      </c>
      <c r="M21" s="173"/>
      <c r="N21" s="173"/>
    </row>
    <row r="22" spans="1:14" ht="12.75">
      <c r="A22" s="23" t="s">
        <v>6</v>
      </c>
      <c r="B22" s="63">
        <v>0.05</v>
      </c>
      <c r="C22" s="63">
        <v>0.055</v>
      </c>
      <c r="D22" s="25">
        <f>B6*B22</f>
        <v>78</v>
      </c>
      <c r="E22" s="25">
        <f>B7*C22</f>
        <v>227.425</v>
      </c>
      <c r="F22" s="25">
        <f>D22+E22</f>
        <v>305.425</v>
      </c>
      <c r="G22" s="39">
        <v>75.677</v>
      </c>
      <c r="H22" s="39">
        <v>245.772</v>
      </c>
      <c r="I22" s="26">
        <f>G22+H22</f>
        <v>321.449</v>
      </c>
      <c r="J22" s="27">
        <f>IF(D22&gt;0,G22/D22,0)</f>
        <v>0.9702179487179488</v>
      </c>
      <c r="K22" s="27">
        <f>IF(E22&gt;0,H22/E22,0)</f>
        <v>1.080672749257997</v>
      </c>
      <c r="L22" s="28">
        <f>IF(I22&gt;0,I22/F22,0)</f>
        <v>1.0524645985102725</v>
      </c>
      <c r="M22" s="40">
        <f>1210.38+89564.74</f>
        <v>90775.12000000001</v>
      </c>
      <c r="N22" s="29">
        <f>IF(I22&gt;0,M22/I22,0)</f>
        <v>282.39353676633</v>
      </c>
    </row>
    <row r="23" spans="1:14" ht="12.75">
      <c r="A23" s="23" t="s">
        <v>7</v>
      </c>
      <c r="B23" s="63">
        <v>0.02</v>
      </c>
      <c r="C23" s="63">
        <v>0.024</v>
      </c>
      <c r="D23" s="25">
        <f>B6*B23</f>
        <v>31.2</v>
      </c>
      <c r="E23" s="25">
        <f>B7*C23</f>
        <v>99.24000000000001</v>
      </c>
      <c r="F23" s="25">
        <f aca="true" t="shared" si="0" ref="F23:F43">D23+E23</f>
        <v>130.44</v>
      </c>
      <c r="G23" s="39">
        <v>28.196</v>
      </c>
      <c r="H23" s="39">
        <v>90.734</v>
      </c>
      <c r="I23" s="26">
        <f aca="true" t="shared" si="1" ref="I23:I43">G23+H23</f>
        <v>118.92999999999999</v>
      </c>
      <c r="J23" s="27">
        <f aca="true" t="shared" si="2" ref="J23:L44">IF(D23&gt;0,G23/D23,0)</f>
        <v>0.9037179487179487</v>
      </c>
      <c r="K23" s="27">
        <f t="shared" si="2"/>
        <v>0.9142885933091494</v>
      </c>
      <c r="L23" s="28">
        <f t="shared" si="2"/>
        <v>0.9117601962588163</v>
      </c>
      <c r="M23" s="40">
        <v>25645.65</v>
      </c>
      <c r="N23" s="29">
        <f aca="true" t="shared" si="3" ref="N23:N43">IF(I23&gt;0,M23/I23,0)</f>
        <v>215.63650887076435</v>
      </c>
    </row>
    <row r="24" spans="1:14" ht="12.75">
      <c r="A24" s="23" t="s">
        <v>97</v>
      </c>
      <c r="B24" s="158">
        <v>0.02</v>
      </c>
      <c r="C24" s="63">
        <v>0.025</v>
      </c>
      <c r="D24" s="25">
        <f>B6*B24</f>
        <v>31.2</v>
      </c>
      <c r="E24" s="25">
        <f>B7*C24</f>
        <v>103.375</v>
      </c>
      <c r="F24" s="25">
        <f>D24+E24</f>
        <v>134.575</v>
      </c>
      <c r="G24" s="39">
        <v>33.505</v>
      </c>
      <c r="H24" s="39">
        <v>103.923</v>
      </c>
      <c r="I24" s="26">
        <f>G24+H24</f>
        <v>137.428</v>
      </c>
      <c r="J24" s="27">
        <f>IF(D24&gt;0,G24/D24,0)</f>
        <v>1.0738782051282052</v>
      </c>
      <c r="K24" s="27">
        <f>IF(E24&gt;0,H24/E24,0)</f>
        <v>1.0053010882708586</v>
      </c>
      <c r="L24" s="28">
        <f>IF(F24&gt;0,I24/F24,0)</f>
        <v>1.0212000743080067</v>
      </c>
      <c r="M24" s="40">
        <f>6454.12+30160.62</f>
        <v>36614.74</v>
      </c>
      <c r="N24" s="29">
        <f>IF(I24&gt;0,M24/I24,0)</f>
        <v>266.42852984835696</v>
      </c>
    </row>
    <row r="25" spans="1:14" ht="12.75">
      <c r="A25" s="31" t="s">
        <v>8</v>
      </c>
      <c r="B25" s="24">
        <v>0.032</v>
      </c>
      <c r="C25" s="24">
        <v>0.037</v>
      </c>
      <c r="D25" s="25">
        <f>B6*B25</f>
        <v>49.92</v>
      </c>
      <c r="E25" s="25">
        <f>B7*C25</f>
        <v>152.995</v>
      </c>
      <c r="F25" s="25">
        <f t="shared" si="0"/>
        <v>202.91500000000002</v>
      </c>
      <c r="G25" s="39">
        <v>46.643</v>
      </c>
      <c r="H25" s="39">
        <v>138.647</v>
      </c>
      <c r="I25" s="26">
        <f t="shared" si="1"/>
        <v>185.29</v>
      </c>
      <c r="J25" s="27">
        <f t="shared" si="2"/>
        <v>0.934354967948718</v>
      </c>
      <c r="K25" s="27">
        <f t="shared" si="2"/>
        <v>0.9062191574888068</v>
      </c>
      <c r="L25" s="28">
        <f t="shared" si="2"/>
        <v>0.9131409703570459</v>
      </c>
      <c r="M25" s="40">
        <v>44769.78</v>
      </c>
      <c r="N25" s="29">
        <f t="shared" si="3"/>
        <v>241.62005504884235</v>
      </c>
    </row>
    <row r="26" spans="1:14" ht="12.75">
      <c r="A26" s="31" t="s">
        <v>35</v>
      </c>
      <c r="B26" s="24">
        <v>0.018</v>
      </c>
      <c r="C26" s="24">
        <v>0.021</v>
      </c>
      <c r="D26" s="25">
        <f>B6*B26</f>
        <v>28.08</v>
      </c>
      <c r="E26" s="25">
        <f>B7*C26</f>
        <v>86.83500000000001</v>
      </c>
      <c r="F26" s="25">
        <f t="shared" si="0"/>
        <v>114.915</v>
      </c>
      <c r="G26" s="39">
        <v>28.519</v>
      </c>
      <c r="H26" s="39">
        <v>85.966</v>
      </c>
      <c r="I26" s="26">
        <f t="shared" si="1"/>
        <v>114.48499999999999</v>
      </c>
      <c r="J26" s="27">
        <f t="shared" si="2"/>
        <v>1.0156339031339032</v>
      </c>
      <c r="K26" s="27">
        <f t="shared" si="2"/>
        <v>0.9899925145390682</v>
      </c>
      <c r="L26" s="28">
        <f t="shared" si="2"/>
        <v>0.9962581038158638</v>
      </c>
      <c r="M26" s="40">
        <v>75050.89</v>
      </c>
      <c r="N26" s="29">
        <f t="shared" si="3"/>
        <v>655.5521684063415</v>
      </c>
    </row>
    <row r="27" spans="1:14" ht="12.75">
      <c r="A27" s="31" t="s">
        <v>36</v>
      </c>
      <c r="B27" s="24">
        <v>0.009</v>
      </c>
      <c r="C27" s="24">
        <v>0.011</v>
      </c>
      <c r="D27" s="25">
        <f>B6*B27</f>
        <v>14.04</v>
      </c>
      <c r="E27" s="25">
        <f>B7*C27</f>
        <v>45.485</v>
      </c>
      <c r="F27" s="25">
        <f t="shared" si="0"/>
        <v>59.525</v>
      </c>
      <c r="G27" s="39">
        <v>12.458</v>
      </c>
      <c r="H27" s="39">
        <v>45.855</v>
      </c>
      <c r="I27" s="26">
        <f t="shared" si="1"/>
        <v>58.312999999999995</v>
      </c>
      <c r="J27" s="27">
        <f t="shared" si="2"/>
        <v>0.8873219373219374</v>
      </c>
      <c r="K27" s="27">
        <f t="shared" si="2"/>
        <v>1.0081345498515994</v>
      </c>
      <c r="L27" s="28">
        <f t="shared" si="2"/>
        <v>0.9796388072238554</v>
      </c>
      <c r="M27" s="40">
        <v>6308.43</v>
      </c>
      <c r="N27" s="29">
        <f t="shared" si="3"/>
        <v>108.18222351791198</v>
      </c>
    </row>
    <row r="28" spans="1:14" ht="12.75">
      <c r="A28" s="32" t="s">
        <v>9</v>
      </c>
      <c r="B28" s="24">
        <v>0.39</v>
      </c>
      <c r="C28" s="24">
        <v>0.45</v>
      </c>
      <c r="D28" s="25">
        <f>B6*B28</f>
        <v>608.4</v>
      </c>
      <c r="E28" s="25">
        <f>B7*C28</f>
        <v>1860.75</v>
      </c>
      <c r="F28" s="25">
        <f t="shared" si="0"/>
        <v>2469.15</v>
      </c>
      <c r="G28" s="39">
        <v>473.322</v>
      </c>
      <c r="H28" s="39">
        <v>1646.644</v>
      </c>
      <c r="I28" s="26">
        <f t="shared" si="1"/>
        <v>2119.966</v>
      </c>
      <c r="J28" s="27">
        <f t="shared" si="2"/>
        <v>0.7779783037475345</v>
      </c>
      <c r="K28" s="27">
        <f t="shared" si="2"/>
        <v>0.8849356442294773</v>
      </c>
      <c r="L28" s="28">
        <f t="shared" si="2"/>
        <v>0.8585812931575643</v>
      </c>
      <c r="M28" s="40">
        <f>18144+98888.61+1697.16+19638.4</f>
        <v>138368.17</v>
      </c>
      <c r="N28" s="29">
        <f t="shared" si="3"/>
        <v>65.26905148478798</v>
      </c>
    </row>
    <row r="29" spans="1:14" ht="12.75">
      <c r="A29" s="31" t="s">
        <v>10</v>
      </c>
      <c r="B29" s="24">
        <v>0.03</v>
      </c>
      <c r="C29" s="24">
        <v>0.04</v>
      </c>
      <c r="D29" s="25">
        <f>B6*B29</f>
        <v>46.8</v>
      </c>
      <c r="E29" s="25">
        <f>B7*C29</f>
        <v>165.4</v>
      </c>
      <c r="F29" s="25">
        <f t="shared" si="0"/>
        <v>212.2</v>
      </c>
      <c r="G29" s="39">
        <v>31.552</v>
      </c>
      <c r="H29" s="39">
        <v>108.693</v>
      </c>
      <c r="I29" s="26">
        <f t="shared" si="1"/>
        <v>140.245</v>
      </c>
      <c r="J29" s="27">
        <f t="shared" si="2"/>
        <v>0.6741880341880342</v>
      </c>
      <c r="K29" s="27">
        <f t="shared" si="2"/>
        <v>0.6571523579201934</v>
      </c>
      <c r="L29" s="28">
        <f t="shared" si="2"/>
        <v>0.660909519321395</v>
      </c>
      <c r="M29" s="40">
        <v>46985.4</v>
      </c>
      <c r="N29" s="29">
        <f t="shared" si="3"/>
        <v>335.0237085101073</v>
      </c>
    </row>
    <row r="30" spans="1:14" ht="12.75">
      <c r="A30" s="31" t="s">
        <v>11</v>
      </c>
      <c r="B30" s="24">
        <v>0.009</v>
      </c>
      <c r="C30" s="24">
        <v>0.011</v>
      </c>
      <c r="D30" s="25">
        <f>B6*B30</f>
        <v>14.04</v>
      </c>
      <c r="E30" s="25">
        <f>B7*C30</f>
        <v>45.485</v>
      </c>
      <c r="F30" s="25">
        <f t="shared" si="0"/>
        <v>59.525</v>
      </c>
      <c r="G30" s="39">
        <v>13.004</v>
      </c>
      <c r="H30" s="39">
        <v>43.796</v>
      </c>
      <c r="I30" s="26">
        <f t="shared" si="1"/>
        <v>56.8</v>
      </c>
      <c r="J30" s="27">
        <f t="shared" si="2"/>
        <v>0.9262108262108263</v>
      </c>
      <c r="K30" s="27">
        <f t="shared" si="2"/>
        <v>0.962866879190942</v>
      </c>
      <c r="L30" s="28">
        <f t="shared" si="2"/>
        <v>0.9542209155816883</v>
      </c>
      <c r="M30" s="40">
        <v>10167.19</v>
      </c>
      <c r="N30" s="29">
        <f t="shared" si="3"/>
        <v>178.999823943662</v>
      </c>
    </row>
    <row r="31" spans="1:14" ht="12.75">
      <c r="A31" s="31" t="s">
        <v>12</v>
      </c>
      <c r="B31" s="24">
        <v>0.004</v>
      </c>
      <c r="C31" s="24">
        <v>0.006</v>
      </c>
      <c r="D31" s="25">
        <f>B6*B31</f>
        <v>6.24</v>
      </c>
      <c r="E31" s="25">
        <f>B7*C31</f>
        <v>24.810000000000002</v>
      </c>
      <c r="F31" s="25">
        <f t="shared" si="0"/>
        <v>31.050000000000004</v>
      </c>
      <c r="G31" s="39">
        <v>6.288</v>
      </c>
      <c r="H31" s="39">
        <v>25.849</v>
      </c>
      <c r="I31" s="26">
        <f t="shared" si="1"/>
        <v>32.137</v>
      </c>
      <c r="J31" s="27">
        <f t="shared" si="2"/>
        <v>1.0076923076923077</v>
      </c>
      <c r="K31" s="27">
        <f t="shared" si="2"/>
        <v>1.0418782748891575</v>
      </c>
      <c r="L31" s="28">
        <f t="shared" si="2"/>
        <v>1.0350080515297906</v>
      </c>
      <c r="M31" s="40">
        <v>12821.31</v>
      </c>
      <c r="N31" s="29">
        <f t="shared" si="3"/>
        <v>398.9578989949279</v>
      </c>
    </row>
    <row r="32" spans="1:14" ht="12.75">
      <c r="A32" s="31" t="s">
        <v>13</v>
      </c>
      <c r="B32" s="24">
        <v>1</v>
      </c>
      <c r="C32" s="24">
        <v>1</v>
      </c>
      <c r="D32" s="25">
        <f>B6*B32</f>
        <v>1560</v>
      </c>
      <c r="E32" s="25">
        <f>B7*C32</f>
        <v>4135</v>
      </c>
      <c r="F32" s="25">
        <f t="shared" si="0"/>
        <v>5695</v>
      </c>
      <c r="G32" s="39">
        <v>1454.9</v>
      </c>
      <c r="H32" s="39">
        <v>4014.1</v>
      </c>
      <c r="I32" s="26">
        <f t="shared" si="1"/>
        <v>5469</v>
      </c>
      <c r="J32" s="27">
        <f t="shared" si="2"/>
        <v>0.9326282051282052</v>
      </c>
      <c r="K32" s="27">
        <f t="shared" si="2"/>
        <v>0.9707617896009674</v>
      </c>
      <c r="L32" s="28">
        <f t="shared" si="2"/>
        <v>0.9603160667251975</v>
      </c>
      <c r="M32" s="40">
        <v>30310.37</v>
      </c>
      <c r="N32" s="29">
        <f t="shared" si="3"/>
        <v>5.542214298774913</v>
      </c>
    </row>
    <row r="33" spans="1:14" ht="12.75">
      <c r="A33" s="31" t="s">
        <v>14</v>
      </c>
      <c r="B33" s="24">
        <v>0.025</v>
      </c>
      <c r="C33" s="24">
        <v>0.029</v>
      </c>
      <c r="D33" s="25">
        <f>B6*B33</f>
        <v>39</v>
      </c>
      <c r="E33" s="25">
        <f>B7*C33</f>
        <v>119.915</v>
      </c>
      <c r="F33" s="25">
        <f t="shared" si="0"/>
        <v>158.91500000000002</v>
      </c>
      <c r="G33" s="39">
        <v>33.708</v>
      </c>
      <c r="H33" s="39">
        <v>112.418</v>
      </c>
      <c r="I33" s="26">
        <f t="shared" si="1"/>
        <v>146.126</v>
      </c>
      <c r="J33" s="27">
        <f t="shared" si="2"/>
        <v>0.8643076923076922</v>
      </c>
      <c r="K33" s="27">
        <f t="shared" si="2"/>
        <v>0.9374807155068173</v>
      </c>
      <c r="L33" s="28">
        <f t="shared" si="2"/>
        <v>0.9195230154485101</v>
      </c>
      <c r="M33" s="40">
        <v>3583.35</v>
      </c>
      <c r="N33" s="29">
        <f t="shared" si="3"/>
        <v>24.522330043934684</v>
      </c>
    </row>
    <row r="34" spans="1:14" ht="12.75">
      <c r="A34" s="31" t="s">
        <v>15</v>
      </c>
      <c r="B34" s="24">
        <v>0.03</v>
      </c>
      <c r="C34" s="24">
        <v>0.043</v>
      </c>
      <c r="D34" s="25">
        <f>B6*B34</f>
        <v>46.8</v>
      </c>
      <c r="E34" s="25">
        <f>B7*C34</f>
        <v>177.80499999999998</v>
      </c>
      <c r="F34" s="25">
        <f t="shared" si="0"/>
        <v>224.60499999999996</v>
      </c>
      <c r="G34" s="39">
        <v>53.655</v>
      </c>
      <c r="H34" s="39">
        <v>181.016</v>
      </c>
      <c r="I34" s="26">
        <f t="shared" si="1"/>
        <v>234.671</v>
      </c>
      <c r="J34" s="27">
        <f t="shared" si="2"/>
        <v>1.1464743589743591</v>
      </c>
      <c r="K34" s="27">
        <f t="shared" si="2"/>
        <v>1.0180591096988274</v>
      </c>
      <c r="L34" s="28">
        <f t="shared" si="2"/>
        <v>1.0448164555553083</v>
      </c>
      <c r="M34" s="40">
        <f>393.38+661.28+3685.19+659.31+818.93+40.54+120.97+208.21+1077.46+4478.99</f>
        <v>12144.26</v>
      </c>
      <c r="N34" s="29">
        <f t="shared" si="3"/>
        <v>51.750152340936886</v>
      </c>
    </row>
    <row r="35" spans="1:14" ht="12.75">
      <c r="A35" s="31" t="s">
        <v>16</v>
      </c>
      <c r="B35" s="24">
        <v>0.008</v>
      </c>
      <c r="C35" s="24">
        <v>0.012</v>
      </c>
      <c r="D35" s="25">
        <f>B6*B35</f>
        <v>12.48</v>
      </c>
      <c r="E35" s="25">
        <f>B7*C35</f>
        <v>49.620000000000005</v>
      </c>
      <c r="F35" s="25">
        <f t="shared" si="0"/>
        <v>62.10000000000001</v>
      </c>
      <c r="G35" s="39">
        <v>17.02</v>
      </c>
      <c r="H35" s="39">
        <v>53.936</v>
      </c>
      <c r="I35" s="26">
        <f t="shared" si="1"/>
        <v>70.956</v>
      </c>
      <c r="J35" s="27">
        <f t="shared" si="2"/>
        <v>1.363782051282051</v>
      </c>
      <c r="K35" s="27">
        <f t="shared" si="2"/>
        <v>1.086981056025796</v>
      </c>
      <c r="L35" s="28">
        <f t="shared" si="2"/>
        <v>1.1426086956521737</v>
      </c>
      <c r="M35" s="40">
        <v>3051.75</v>
      </c>
      <c r="N35" s="29">
        <f t="shared" si="3"/>
        <v>43.009047860646035</v>
      </c>
    </row>
    <row r="36" spans="1:14" ht="12.75">
      <c r="A36" s="31" t="s">
        <v>17</v>
      </c>
      <c r="B36" s="24">
        <v>0.025</v>
      </c>
      <c r="C36" s="24">
        <v>0.03</v>
      </c>
      <c r="D36" s="25">
        <f>B6*B36</f>
        <v>39</v>
      </c>
      <c r="E36" s="25">
        <f>B7*C36</f>
        <v>124.05</v>
      </c>
      <c r="F36" s="25">
        <f t="shared" si="0"/>
        <v>163.05</v>
      </c>
      <c r="G36" s="39">
        <v>29.908</v>
      </c>
      <c r="H36" s="39">
        <v>105.558</v>
      </c>
      <c r="I36" s="26">
        <f t="shared" si="1"/>
        <v>135.466</v>
      </c>
      <c r="J36" s="27">
        <f t="shared" si="2"/>
        <v>0.7668717948717949</v>
      </c>
      <c r="K36" s="27">
        <f t="shared" si="2"/>
        <v>0.8509310761789601</v>
      </c>
      <c r="L36" s="28">
        <f t="shared" si="2"/>
        <v>0.8308249003373198</v>
      </c>
      <c r="M36" s="40">
        <v>8804.14</v>
      </c>
      <c r="N36" s="29">
        <f t="shared" si="3"/>
        <v>64.991510784994</v>
      </c>
    </row>
    <row r="37" spans="1:14" ht="12.75">
      <c r="A37" s="31" t="s">
        <v>18</v>
      </c>
      <c r="B37" s="24">
        <v>0.012</v>
      </c>
      <c r="C37" s="24">
        <v>0.02</v>
      </c>
      <c r="D37" s="25">
        <f>B6*B37</f>
        <v>18.72</v>
      </c>
      <c r="E37" s="25">
        <f>B7*C37</f>
        <v>82.7</v>
      </c>
      <c r="F37" s="25">
        <f t="shared" si="0"/>
        <v>101.42</v>
      </c>
      <c r="G37" s="39">
        <v>14.077</v>
      </c>
      <c r="H37" s="39">
        <v>41.147</v>
      </c>
      <c r="I37" s="26">
        <f t="shared" si="1"/>
        <v>55.224</v>
      </c>
      <c r="J37" s="27">
        <f t="shared" si="2"/>
        <v>0.7519764957264957</v>
      </c>
      <c r="K37" s="27">
        <f t="shared" si="2"/>
        <v>0.49754534461910516</v>
      </c>
      <c r="L37" s="28">
        <f t="shared" si="2"/>
        <v>0.5445079865904161</v>
      </c>
      <c r="M37" s="40">
        <f>1991.94+4170.37</f>
        <v>6162.3099999999995</v>
      </c>
      <c r="N37" s="29">
        <f t="shared" si="3"/>
        <v>111.58753440533101</v>
      </c>
    </row>
    <row r="38" spans="1:14" ht="12.75">
      <c r="A38" s="31" t="s">
        <v>19</v>
      </c>
      <c r="B38" s="24">
        <v>0.009</v>
      </c>
      <c r="C38" s="24">
        <v>0.011</v>
      </c>
      <c r="D38" s="25">
        <f>B6*B38</f>
        <v>14.04</v>
      </c>
      <c r="E38" s="25">
        <f>B7*C38</f>
        <v>45.485</v>
      </c>
      <c r="F38" s="25">
        <f t="shared" si="0"/>
        <v>59.525</v>
      </c>
      <c r="G38" s="39">
        <v>12.84</v>
      </c>
      <c r="H38" s="39">
        <v>43.026</v>
      </c>
      <c r="I38" s="26">
        <f t="shared" si="1"/>
        <v>55.866</v>
      </c>
      <c r="J38" s="27">
        <f t="shared" si="2"/>
        <v>0.9145299145299146</v>
      </c>
      <c r="K38" s="27">
        <f t="shared" si="2"/>
        <v>0.9459382213916677</v>
      </c>
      <c r="L38" s="28">
        <f t="shared" si="2"/>
        <v>0.938530029399412</v>
      </c>
      <c r="M38" s="40">
        <f>3188.02+3306.19</f>
        <v>6494.21</v>
      </c>
      <c r="N38" s="29">
        <f t="shared" si="3"/>
        <v>116.24619625532524</v>
      </c>
    </row>
    <row r="39" spans="1:14" ht="12.75">
      <c r="A39" s="31" t="s">
        <v>20</v>
      </c>
      <c r="B39" s="24">
        <v>0.095</v>
      </c>
      <c r="C39" s="24">
        <v>0.1</v>
      </c>
      <c r="D39" s="25">
        <f>B6*B39</f>
        <v>148.2</v>
      </c>
      <c r="E39" s="25">
        <f>B7*C39</f>
        <v>413.5</v>
      </c>
      <c r="F39" s="25">
        <f t="shared" si="0"/>
        <v>561.7</v>
      </c>
      <c r="G39" s="39">
        <v>156.9</v>
      </c>
      <c r="H39" s="39">
        <v>428.546</v>
      </c>
      <c r="I39" s="26">
        <f t="shared" si="1"/>
        <v>585.446</v>
      </c>
      <c r="J39" s="27">
        <f t="shared" si="2"/>
        <v>1.0587044534412957</v>
      </c>
      <c r="K39" s="27">
        <f t="shared" si="2"/>
        <v>1.0363869407496977</v>
      </c>
      <c r="L39" s="28">
        <f t="shared" si="2"/>
        <v>1.042275235891045</v>
      </c>
      <c r="M39" s="40">
        <f>50808+4607.89+19520.28</f>
        <v>74936.17</v>
      </c>
      <c r="N39" s="29">
        <f t="shared" si="3"/>
        <v>127.99843196469016</v>
      </c>
    </row>
    <row r="40" spans="1:14" ht="12.75">
      <c r="A40" s="31" t="s">
        <v>21</v>
      </c>
      <c r="B40" s="24">
        <v>0.1</v>
      </c>
      <c r="C40" s="24">
        <v>0.1</v>
      </c>
      <c r="D40" s="25">
        <f>B6*B40</f>
        <v>156</v>
      </c>
      <c r="E40" s="25">
        <f>B7*C40</f>
        <v>413.5</v>
      </c>
      <c r="F40" s="25">
        <f t="shared" si="0"/>
        <v>569.5</v>
      </c>
      <c r="G40" s="39">
        <v>140.4</v>
      </c>
      <c r="H40" s="39">
        <v>407.8</v>
      </c>
      <c r="I40" s="26">
        <f t="shared" si="1"/>
        <v>548.2</v>
      </c>
      <c r="J40" s="27">
        <f t="shared" si="2"/>
        <v>0.9</v>
      </c>
      <c r="K40" s="27">
        <f t="shared" si="2"/>
        <v>0.9862152357920194</v>
      </c>
      <c r="L40" s="28">
        <f t="shared" si="2"/>
        <v>0.9625987708516243</v>
      </c>
      <c r="M40" s="40">
        <f>18295.55+12218.14</f>
        <v>30513.69</v>
      </c>
      <c r="N40" s="29">
        <f t="shared" si="3"/>
        <v>55.66160160525355</v>
      </c>
    </row>
    <row r="41" spans="1:14" ht="12.75">
      <c r="A41" s="31" t="s">
        <v>22</v>
      </c>
      <c r="B41" s="63">
        <v>0.12</v>
      </c>
      <c r="C41" s="63">
        <v>0.14</v>
      </c>
      <c r="D41" s="25">
        <f>B6*B41</f>
        <v>187.2</v>
      </c>
      <c r="E41" s="25">
        <f>B7*C41</f>
        <v>578.9000000000001</v>
      </c>
      <c r="F41" s="25">
        <f t="shared" si="0"/>
        <v>766.1000000000001</v>
      </c>
      <c r="G41" s="39">
        <v>160.489</v>
      </c>
      <c r="H41" s="39">
        <v>521.077</v>
      </c>
      <c r="I41" s="26">
        <f t="shared" si="1"/>
        <v>681.566</v>
      </c>
      <c r="J41" s="27">
        <f t="shared" si="2"/>
        <v>0.8573130341880343</v>
      </c>
      <c r="K41" s="27">
        <f t="shared" si="2"/>
        <v>0.9001157367420969</v>
      </c>
      <c r="L41" s="28">
        <f t="shared" si="2"/>
        <v>0.8896567027803157</v>
      </c>
      <c r="M41" s="40">
        <v>24990.73</v>
      </c>
      <c r="N41" s="29">
        <f t="shared" si="3"/>
        <v>36.6666324317821</v>
      </c>
    </row>
    <row r="42" spans="1:14" ht="12.75">
      <c r="A42" s="31" t="s">
        <v>23</v>
      </c>
      <c r="B42" s="24">
        <v>0.18</v>
      </c>
      <c r="C42" s="24">
        <v>0.22</v>
      </c>
      <c r="D42" s="25">
        <f>B6*B42</f>
        <v>280.8</v>
      </c>
      <c r="E42" s="25">
        <f>B7*C42</f>
        <v>909.7</v>
      </c>
      <c r="F42" s="25">
        <f t="shared" si="0"/>
        <v>1190.5</v>
      </c>
      <c r="G42" s="39">
        <v>257.778</v>
      </c>
      <c r="H42" s="39">
        <v>860.157</v>
      </c>
      <c r="I42" s="26">
        <f t="shared" si="1"/>
        <v>1117.935</v>
      </c>
      <c r="J42" s="27">
        <f t="shared" si="2"/>
        <v>0.9180128205128205</v>
      </c>
      <c r="K42" s="27">
        <f t="shared" si="2"/>
        <v>0.9455391887435418</v>
      </c>
      <c r="L42" s="28">
        <f t="shared" si="2"/>
        <v>0.9390466190676185</v>
      </c>
      <c r="M42" s="40">
        <f>7043.13+2425.29+9164.59+7552.48+5701.98+4394.85+1606.63+13770.51+4562.59+1291.37+5327.82</f>
        <v>62841.240000000005</v>
      </c>
      <c r="N42" s="29">
        <f t="shared" si="3"/>
        <v>56.211890673429146</v>
      </c>
    </row>
    <row r="43" spans="1:14" ht="12.75">
      <c r="A43" s="31" t="s">
        <v>24</v>
      </c>
      <c r="B43" s="24">
        <v>0.04</v>
      </c>
      <c r="C43" s="24">
        <v>0.05</v>
      </c>
      <c r="D43" s="25">
        <f>B6*B43</f>
        <v>62.4</v>
      </c>
      <c r="E43" s="25">
        <f>B7*C43</f>
        <v>206.75</v>
      </c>
      <c r="F43" s="25">
        <f t="shared" si="0"/>
        <v>269.15</v>
      </c>
      <c r="G43" s="39">
        <v>62.315</v>
      </c>
      <c r="H43" s="39">
        <v>186.12</v>
      </c>
      <c r="I43" s="26">
        <f t="shared" si="1"/>
        <v>248.435</v>
      </c>
      <c r="J43" s="27">
        <f t="shared" si="2"/>
        <v>0.9986378205128205</v>
      </c>
      <c r="K43" s="27">
        <f t="shared" si="2"/>
        <v>0.900217654171705</v>
      </c>
      <c r="L43" s="28">
        <f t="shared" si="2"/>
        <v>0.9230354820731935</v>
      </c>
      <c r="M43" s="40">
        <v>13643.93</v>
      </c>
      <c r="N43" s="29">
        <f t="shared" si="3"/>
        <v>54.91951617123191</v>
      </c>
    </row>
    <row r="44" spans="1:14" ht="12.75">
      <c r="A44" s="32" t="s">
        <v>25</v>
      </c>
      <c r="B44" s="64">
        <v>0.06</v>
      </c>
      <c r="C44" s="64">
        <v>0.08</v>
      </c>
      <c r="D44" s="25">
        <f>B6*B44</f>
        <v>93.6</v>
      </c>
      <c r="E44" s="25">
        <f>B7*C44</f>
        <v>330.8</v>
      </c>
      <c r="F44" s="25">
        <f>D44+E44</f>
        <v>424.4</v>
      </c>
      <c r="G44" s="39">
        <f>46.8+39.148</f>
        <v>85.94800000000001</v>
      </c>
      <c r="H44" s="39">
        <v>279.182</v>
      </c>
      <c r="I44" s="26">
        <f>G44+H44</f>
        <v>365.13</v>
      </c>
      <c r="J44" s="27">
        <f t="shared" si="2"/>
        <v>0.9182478632478633</v>
      </c>
      <c r="K44" s="27">
        <f t="shared" si="2"/>
        <v>0.8439600967351875</v>
      </c>
      <c r="L44" s="28">
        <f t="shared" si="2"/>
        <v>0.8603440150801132</v>
      </c>
      <c r="M44" s="40">
        <f>11319.6+14816.89</f>
        <v>26136.489999999998</v>
      </c>
      <c r="N44" s="29">
        <f>IF(I44&gt;0,M44/I44,0)</f>
        <v>71.58132719853202</v>
      </c>
    </row>
    <row r="45" spans="1:14" s="20" customFormat="1" ht="12.75">
      <c r="A45" s="44" t="s">
        <v>54</v>
      </c>
      <c r="B45" s="45"/>
      <c r="C45" s="45"/>
      <c r="D45" s="46">
        <f>SUM(D22:D44)</f>
        <v>3566.16</v>
      </c>
      <c r="E45" s="46">
        <f>SUM(E22:E44)</f>
        <v>10399.525</v>
      </c>
      <c r="F45" s="46">
        <f>D45+E45</f>
        <v>13965.685</v>
      </c>
      <c r="G45" s="56">
        <f>SUM(G22:G44)</f>
        <v>3229.1020000000008</v>
      </c>
      <c r="H45" s="56">
        <f>SUM(H22:H44)</f>
        <v>9769.962</v>
      </c>
      <c r="I45" s="47">
        <f>G45+H45</f>
        <v>12999.064</v>
      </c>
      <c r="J45" s="59">
        <f>IF(G45&gt;0,G45/D45,0)</f>
        <v>0.9054843304843307</v>
      </c>
      <c r="K45" s="59">
        <f>IF(E45&gt;0,H45/E45,0)</f>
        <v>0.9394623312122429</v>
      </c>
      <c r="L45" s="59">
        <f>IF(F45&gt;0,I45/F45,0)</f>
        <v>0.9307859943855243</v>
      </c>
      <c r="M45" s="57">
        <f>SUM(SUM(M22:M44))</f>
        <v>791119.3200000001</v>
      </c>
      <c r="N45" s="60"/>
    </row>
    <row r="46" ht="13.5" thickBot="1"/>
    <row r="47" spans="1:14" s="37" customFormat="1" ht="21" customHeight="1" thickBot="1">
      <c r="A47" s="33" t="s">
        <v>48</v>
      </c>
      <c r="B47" s="34">
        <f>SUM(B22:B24)</f>
        <v>0.09000000000000001</v>
      </c>
      <c r="C47" s="34">
        <f>SUM(C22:C24)</f>
        <v>0.10400000000000001</v>
      </c>
      <c r="D47" s="35">
        <f aca="true" t="shared" si="4" ref="D47:I47">SUM(D22:D24)</f>
        <v>140.4</v>
      </c>
      <c r="E47" s="35">
        <f t="shared" si="4"/>
        <v>430.04</v>
      </c>
      <c r="F47" s="35">
        <f t="shared" si="4"/>
        <v>570.44</v>
      </c>
      <c r="G47" s="35">
        <f t="shared" si="4"/>
        <v>137.37800000000001</v>
      </c>
      <c r="H47" s="35">
        <f t="shared" si="4"/>
        <v>440.429</v>
      </c>
      <c r="I47" s="35">
        <f t="shared" si="4"/>
        <v>577.807</v>
      </c>
      <c r="J47" s="61">
        <f>IF(G47=0,0,G47/D47)</f>
        <v>0.9784757834757836</v>
      </c>
      <c r="K47" s="61">
        <f>IF(H47=0,0,H47/E47)</f>
        <v>1.024158217840201</v>
      </c>
      <c r="L47" s="61">
        <f>IF(I47&gt;0,I47/F47,0)</f>
        <v>1.012914592244583</v>
      </c>
      <c r="M47" s="58">
        <f>SUM(M22:M24)</f>
        <v>153035.51</v>
      </c>
      <c r="N47" s="36">
        <f>IF(M47=0,0,M47/I47)</f>
        <v>264.85575633386236</v>
      </c>
    </row>
  </sheetData>
  <sheetProtection password="CC53" sheet="1" formatCells="0" formatColumns="0" formatRows="0" insertColumns="0" insertRows="0" insertHyperlinks="0" deleteColumns="0" deleteRows="0" sort="0" autoFilter="0" pivotTables="0"/>
  <mergeCells count="19">
    <mergeCell ref="M20:M21"/>
    <mergeCell ref="E2:G2"/>
    <mergeCell ref="A15:B15"/>
    <mergeCell ref="L15:M15"/>
    <mergeCell ref="C8:C10"/>
    <mergeCell ref="D8:F10"/>
    <mergeCell ref="A11:B11"/>
    <mergeCell ref="L13:N13"/>
    <mergeCell ref="L14:M14"/>
    <mergeCell ref="A1:G1"/>
    <mergeCell ref="L16:M16"/>
    <mergeCell ref="L17:M17"/>
    <mergeCell ref="A19:N19"/>
    <mergeCell ref="A20:A21"/>
    <mergeCell ref="B20:C20"/>
    <mergeCell ref="D20:F20"/>
    <mergeCell ref="G20:I20"/>
    <mergeCell ref="N20:N21"/>
    <mergeCell ref="J20:L20"/>
  </mergeCells>
  <printOptions horizontalCentered="1"/>
  <pageMargins left="0.31496062992125984" right="0.31496062992125984" top="0.9448818897637796" bottom="0.35433070866141736" header="0" footer="0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M43" sqref="M43"/>
    </sheetView>
  </sheetViews>
  <sheetFormatPr defaultColWidth="9.125" defaultRowHeight="12.75"/>
  <cols>
    <col min="1" max="1" width="32.625" style="2" customWidth="1"/>
    <col min="2" max="3" width="12.125" style="2" customWidth="1"/>
    <col min="4" max="12" width="11.375" style="2" customWidth="1"/>
    <col min="13" max="13" width="12.50390625" style="2" customWidth="1"/>
    <col min="14" max="14" width="11.375" style="2" customWidth="1"/>
    <col min="15" max="15" width="10.50390625" style="2" customWidth="1"/>
    <col min="16" max="16384" width="9.125" style="2" customWidth="1"/>
  </cols>
  <sheetData>
    <row r="1" spans="1:14" ht="24" customHeight="1">
      <c r="A1" s="171" t="s">
        <v>79</v>
      </c>
      <c r="B1" s="171"/>
      <c r="C1" s="171"/>
      <c r="D1" s="171"/>
      <c r="E1" s="171"/>
      <c r="F1" s="171"/>
      <c r="G1" s="171"/>
      <c r="H1" s="119">
        <f>янв!H1</f>
        <v>2023</v>
      </c>
      <c r="I1" s="1" t="s">
        <v>75</v>
      </c>
      <c r="J1" s="1"/>
      <c r="K1" s="1"/>
      <c r="L1" s="1"/>
      <c r="M1" s="1"/>
      <c r="N1" s="1"/>
    </row>
    <row r="2" spans="1:7" ht="12.75">
      <c r="A2" s="3" t="s">
        <v>26</v>
      </c>
      <c r="B2" s="157" t="s">
        <v>98</v>
      </c>
      <c r="E2" s="183" t="s">
        <v>55</v>
      </c>
      <c r="F2" s="183"/>
      <c r="G2" s="183"/>
    </row>
    <row r="3" spans="1:2" ht="12.75">
      <c r="A3" s="3" t="s">
        <v>0</v>
      </c>
      <c r="B3" s="38" t="s">
        <v>99</v>
      </c>
    </row>
    <row r="4" spans="1:2" ht="12.75">
      <c r="A4" s="4" t="s">
        <v>30</v>
      </c>
      <c r="B4" s="38">
        <v>448</v>
      </c>
    </row>
    <row r="5" spans="1:2" ht="12.75">
      <c r="A5" s="5" t="s">
        <v>28</v>
      </c>
      <c r="B5" s="140">
        <f>B6+B7</f>
        <v>4864</v>
      </c>
    </row>
    <row r="6" spans="1:2" ht="12.75">
      <c r="A6" s="6" t="s">
        <v>27</v>
      </c>
      <c r="B6" s="146">
        <v>1527</v>
      </c>
    </row>
    <row r="7" spans="1:2" ht="13.5" thickBot="1">
      <c r="A7" s="7" t="s">
        <v>29</v>
      </c>
      <c r="B7" s="147">
        <v>3337</v>
      </c>
    </row>
    <row r="8" spans="1:6" ht="12.75">
      <c r="A8" s="8" t="s">
        <v>31</v>
      </c>
      <c r="B8" s="132">
        <v>677393.81</v>
      </c>
      <c r="C8" s="184"/>
      <c r="D8" s="187"/>
      <c r="E8" s="183"/>
      <c r="F8" s="183"/>
    </row>
    <row r="9" spans="1:6" ht="12.75">
      <c r="A9" s="9" t="s">
        <v>32</v>
      </c>
      <c r="B9" s="133">
        <f>M45</f>
        <v>673323.24</v>
      </c>
      <c r="C9" s="184"/>
      <c r="D9" s="187"/>
      <c r="E9" s="183"/>
      <c r="F9" s="183"/>
    </row>
    <row r="10" spans="1:6" ht="13.5" thickBot="1">
      <c r="A10" s="11" t="s">
        <v>33</v>
      </c>
      <c r="B10" s="134">
        <f>B8-B9</f>
        <v>4070.570000000065</v>
      </c>
      <c r="C10" s="184"/>
      <c r="D10" s="187"/>
      <c r="E10" s="183"/>
      <c r="F10" s="183"/>
    </row>
    <row r="11" spans="1:3" ht="12.75">
      <c r="A11" s="185" t="s">
        <v>40</v>
      </c>
      <c r="B11" s="185"/>
      <c r="C11" s="12"/>
    </row>
    <row r="12" spans="1:3" ht="12.75">
      <c r="A12" s="3" t="s">
        <v>34</v>
      </c>
      <c r="B12" s="13">
        <v>131</v>
      </c>
      <c r="C12" s="12"/>
    </row>
    <row r="13" spans="1:14" ht="12.75" customHeight="1">
      <c r="A13" s="3" t="s">
        <v>2</v>
      </c>
      <c r="B13" s="131">
        <f>IF(M45&gt;0,B8/B5,0)</f>
        <v>139.26681949013158</v>
      </c>
      <c r="C13" s="12"/>
      <c r="L13" s="176" t="s">
        <v>49</v>
      </c>
      <c r="M13" s="176"/>
      <c r="N13" s="176"/>
    </row>
    <row r="14" spans="1:14" ht="12.75">
      <c r="A14" s="14" t="s">
        <v>3</v>
      </c>
      <c r="B14" s="15">
        <f>B13/B12</f>
        <v>1.0631054922910808</v>
      </c>
      <c r="E14" s="42"/>
      <c r="L14" s="177" t="s">
        <v>50</v>
      </c>
      <c r="M14" s="177"/>
      <c r="N14" s="41">
        <v>2</v>
      </c>
    </row>
    <row r="15" spans="1:14" ht="12.75">
      <c r="A15" s="182" t="s">
        <v>41</v>
      </c>
      <c r="B15" s="182"/>
      <c r="C15" s="12"/>
      <c r="E15" s="43"/>
      <c r="L15" s="177" t="s">
        <v>53</v>
      </c>
      <c r="M15" s="177"/>
      <c r="N15" s="41">
        <v>1.25</v>
      </c>
    </row>
    <row r="16" spans="1:14" ht="12.75">
      <c r="A16" s="3" t="s">
        <v>42</v>
      </c>
      <c r="B16" s="16">
        <f>J45</f>
        <v>0.9168931241158707</v>
      </c>
      <c r="C16" s="12"/>
      <c r="L16" s="177" t="s">
        <v>52</v>
      </c>
      <c r="M16" s="177"/>
      <c r="N16" s="41">
        <v>2.63</v>
      </c>
    </row>
    <row r="17" spans="1:14" ht="13.5" thickBot="1">
      <c r="A17" s="3" t="s">
        <v>43</v>
      </c>
      <c r="B17" s="17">
        <f>K45</f>
        <v>0.9314762905932698</v>
      </c>
      <c r="C17" s="12"/>
      <c r="L17" s="177" t="s">
        <v>51</v>
      </c>
      <c r="M17" s="177"/>
      <c r="N17" s="41">
        <v>8.33</v>
      </c>
    </row>
    <row r="18" spans="1:3" ht="18" thickBot="1">
      <c r="A18" s="18" t="s">
        <v>44</v>
      </c>
      <c r="B18" s="19">
        <f>L45</f>
        <v>0.9271924739278566</v>
      </c>
      <c r="C18" s="12"/>
    </row>
    <row r="19" spans="1:14" ht="18.75" customHeight="1">
      <c r="A19" s="174" t="s">
        <v>1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</row>
    <row r="20" spans="1:14" s="20" customFormat="1" ht="39" customHeight="1">
      <c r="A20" s="186"/>
      <c r="B20" s="179" t="s">
        <v>37</v>
      </c>
      <c r="C20" s="179"/>
      <c r="D20" s="178" t="s">
        <v>38</v>
      </c>
      <c r="E20" s="178"/>
      <c r="F20" s="179"/>
      <c r="G20" s="178" t="s">
        <v>39</v>
      </c>
      <c r="H20" s="179"/>
      <c r="I20" s="179"/>
      <c r="J20" s="180" t="s">
        <v>4</v>
      </c>
      <c r="K20" s="181"/>
      <c r="L20" s="181"/>
      <c r="M20" s="172" t="s">
        <v>46</v>
      </c>
      <c r="N20" s="172" t="s">
        <v>47</v>
      </c>
    </row>
    <row r="21" spans="1:14" s="20" customFormat="1" ht="12.75">
      <c r="A21" s="186"/>
      <c r="B21" s="48" t="s">
        <v>27</v>
      </c>
      <c r="C21" s="48" t="s">
        <v>29</v>
      </c>
      <c r="D21" s="21" t="s">
        <v>27</v>
      </c>
      <c r="E21" s="21" t="s">
        <v>29</v>
      </c>
      <c r="F21" s="21" t="s">
        <v>5</v>
      </c>
      <c r="G21" s="21" t="s">
        <v>27</v>
      </c>
      <c r="H21" s="21" t="s">
        <v>29</v>
      </c>
      <c r="I21" s="21" t="s">
        <v>5</v>
      </c>
      <c r="J21" s="21" t="s">
        <v>27</v>
      </c>
      <c r="K21" s="21" t="s">
        <v>29</v>
      </c>
      <c r="L21" s="22" t="s">
        <v>45</v>
      </c>
      <c r="M21" s="173"/>
      <c r="N21" s="173"/>
    </row>
    <row r="22" spans="1:14" ht="12.75">
      <c r="A22" s="23" t="s">
        <v>6</v>
      </c>
      <c r="B22" s="63">
        <v>0.05</v>
      </c>
      <c r="C22" s="63">
        <v>0.055</v>
      </c>
      <c r="D22" s="25">
        <f>B6*B22</f>
        <v>76.35000000000001</v>
      </c>
      <c r="E22" s="25">
        <f>B7*C22</f>
        <v>183.535</v>
      </c>
      <c r="F22" s="25">
        <f>D22+E22</f>
        <v>259.885</v>
      </c>
      <c r="G22" s="39">
        <v>67.181</v>
      </c>
      <c r="H22" s="39">
        <v>179.994</v>
      </c>
      <c r="I22" s="26">
        <f>G22+H22</f>
        <v>247.175</v>
      </c>
      <c r="J22" s="27">
        <f>IF(D22&gt;0,G22/D22,0)</f>
        <v>0.8799083169613621</v>
      </c>
      <c r="K22" s="27">
        <f>IF(E22&gt;0,H22/E22,0)</f>
        <v>0.980706677200534</v>
      </c>
      <c r="L22" s="28">
        <f>IF(I22&gt;0,I22/F22,0)</f>
        <v>0.9510937530061374</v>
      </c>
      <c r="M22" s="40">
        <f>885.19+70837.43</f>
        <v>71722.62</v>
      </c>
      <c r="N22" s="29">
        <f>IF(I22&gt;0,M22/I22,0)</f>
        <v>290.1693941539395</v>
      </c>
    </row>
    <row r="23" spans="1:14" ht="12.75">
      <c r="A23" s="23" t="s">
        <v>7</v>
      </c>
      <c r="B23" s="63">
        <v>0.02</v>
      </c>
      <c r="C23" s="63">
        <v>0.024</v>
      </c>
      <c r="D23" s="25">
        <f>B6*B23</f>
        <v>30.54</v>
      </c>
      <c r="E23" s="25">
        <f>B7*C23</f>
        <v>80.08800000000001</v>
      </c>
      <c r="F23" s="25">
        <f aca="true" t="shared" si="0" ref="F23:F43">D23+E23</f>
        <v>110.62800000000001</v>
      </c>
      <c r="G23" s="39">
        <v>25.118</v>
      </c>
      <c r="H23" s="39">
        <v>65.498</v>
      </c>
      <c r="I23" s="26">
        <f aca="true" t="shared" si="1" ref="I23:I43">G23+H23</f>
        <v>90.616</v>
      </c>
      <c r="J23" s="27">
        <f aca="true" t="shared" si="2" ref="J23:L44">IF(D23&gt;0,G23/D23,0)</f>
        <v>0.8224623444662738</v>
      </c>
      <c r="K23" s="27">
        <f t="shared" si="2"/>
        <v>0.8178253920687244</v>
      </c>
      <c r="L23" s="28">
        <f t="shared" si="2"/>
        <v>0.8191054705861083</v>
      </c>
      <c r="M23" s="40">
        <v>19540.11</v>
      </c>
      <c r="N23" s="29">
        <f aca="true" t="shared" si="3" ref="N23:N43">IF(I23&gt;0,M23/I23,0)</f>
        <v>215.63642182396046</v>
      </c>
    </row>
    <row r="24" spans="1:14" ht="12.75">
      <c r="A24" s="23" t="s">
        <v>97</v>
      </c>
      <c r="B24" s="158">
        <v>0.02</v>
      </c>
      <c r="C24" s="63">
        <v>0.025</v>
      </c>
      <c r="D24" s="25">
        <f>B6*B24</f>
        <v>30.54</v>
      </c>
      <c r="E24" s="25">
        <f>B7*C24</f>
        <v>83.42500000000001</v>
      </c>
      <c r="F24" s="25">
        <f>D24+E24</f>
        <v>113.965</v>
      </c>
      <c r="G24" s="39">
        <v>29.525</v>
      </c>
      <c r="H24" s="39">
        <v>82.169</v>
      </c>
      <c r="I24" s="26">
        <f>G24+H24</f>
        <v>111.69399999999999</v>
      </c>
      <c r="J24" s="27">
        <f>IF(D24&gt;0,G24/D24,0)</f>
        <v>0.9667648984937787</v>
      </c>
      <c r="K24" s="27">
        <f>IF(E24&gt;0,H24/E24,0)</f>
        <v>0.9849445609829186</v>
      </c>
      <c r="L24" s="28">
        <f>IF(F24&gt;0,I24/F24,0)</f>
        <v>0.9800728293774403</v>
      </c>
      <c r="M24" s="40">
        <f>11295.3+18154.36</f>
        <v>29449.66</v>
      </c>
      <c r="N24" s="29">
        <f>IF(I24&gt;0,M24/I24,0)</f>
        <v>263.6637599154834</v>
      </c>
    </row>
    <row r="25" spans="1:14" ht="12.75">
      <c r="A25" s="31" t="s">
        <v>8</v>
      </c>
      <c r="B25" s="24">
        <v>0.032</v>
      </c>
      <c r="C25" s="24">
        <v>0.037</v>
      </c>
      <c r="D25" s="25">
        <f>B6*B25</f>
        <v>48.864000000000004</v>
      </c>
      <c r="E25" s="25">
        <f>B7*C25</f>
        <v>123.469</v>
      </c>
      <c r="F25" s="25">
        <f t="shared" si="0"/>
        <v>172.333</v>
      </c>
      <c r="G25" s="39">
        <v>45.546</v>
      </c>
      <c r="H25" s="39">
        <v>114.805</v>
      </c>
      <c r="I25" s="26">
        <f t="shared" si="1"/>
        <v>160.351</v>
      </c>
      <c r="J25" s="27">
        <f t="shared" si="2"/>
        <v>0.9320972495088408</v>
      </c>
      <c r="K25" s="27">
        <f t="shared" si="2"/>
        <v>0.9298285399573983</v>
      </c>
      <c r="L25" s="28">
        <f t="shared" si="2"/>
        <v>0.9304718190944277</v>
      </c>
      <c r="M25" s="40">
        <v>38741.9</v>
      </c>
      <c r="N25" s="29">
        <f t="shared" si="3"/>
        <v>241.60684997287203</v>
      </c>
    </row>
    <row r="26" spans="1:14" ht="12.75">
      <c r="A26" s="31" t="s">
        <v>35</v>
      </c>
      <c r="B26" s="24">
        <v>0.018</v>
      </c>
      <c r="C26" s="24">
        <v>0.021</v>
      </c>
      <c r="D26" s="25">
        <f>B6*B26</f>
        <v>27.485999999999997</v>
      </c>
      <c r="E26" s="25">
        <f>B7*C26</f>
        <v>70.077</v>
      </c>
      <c r="F26" s="25">
        <f t="shared" si="0"/>
        <v>97.56299999999999</v>
      </c>
      <c r="G26" s="39">
        <v>29.897</v>
      </c>
      <c r="H26" s="39">
        <v>72.691</v>
      </c>
      <c r="I26" s="26">
        <f t="shared" si="1"/>
        <v>102.588</v>
      </c>
      <c r="J26" s="27">
        <f t="shared" si="2"/>
        <v>1.087717383395183</v>
      </c>
      <c r="K26" s="27">
        <f t="shared" si="2"/>
        <v>1.0373018251352084</v>
      </c>
      <c r="L26" s="28">
        <f t="shared" si="2"/>
        <v>1.0515051812674887</v>
      </c>
      <c r="M26" s="40">
        <v>67252.47</v>
      </c>
      <c r="N26" s="29">
        <f t="shared" si="3"/>
        <v>655.5588372909112</v>
      </c>
    </row>
    <row r="27" spans="1:14" ht="12.75">
      <c r="A27" s="31" t="s">
        <v>36</v>
      </c>
      <c r="B27" s="24">
        <v>0.009</v>
      </c>
      <c r="C27" s="24">
        <v>0.011</v>
      </c>
      <c r="D27" s="25">
        <f>B6*B27</f>
        <v>13.742999999999999</v>
      </c>
      <c r="E27" s="25">
        <f>B7*C27</f>
        <v>36.707</v>
      </c>
      <c r="F27" s="25">
        <f t="shared" si="0"/>
        <v>50.45</v>
      </c>
      <c r="G27" s="39">
        <v>12.19</v>
      </c>
      <c r="H27" s="39">
        <v>36.855</v>
      </c>
      <c r="I27" s="26">
        <f t="shared" si="1"/>
        <v>49.044999999999995</v>
      </c>
      <c r="J27" s="27">
        <f t="shared" si="2"/>
        <v>0.8869970166630285</v>
      </c>
      <c r="K27" s="27">
        <f t="shared" si="2"/>
        <v>1.004031928514997</v>
      </c>
      <c r="L27" s="28">
        <f t="shared" si="2"/>
        <v>0.9721506442021802</v>
      </c>
      <c r="M27" s="40">
        <v>5291.55</v>
      </c>
      <c r="N27" s="29">
        <f t="shared" si="3"/>
        <v>107.89173208278113</v>
      </c>
    </row>
    <row r="28" spans="1:14" ht="12.75">
      <c r="A28" s="32" t="s">
        <v>9</v>
      </c>
      <c r="B28" s="24">
        <v>0.39</v>
      </c>
      <c r="C28" s="24">
        <v>0.45</v>
      </c>
      <c r="D28" s="25">
        <f>B6*B28</f>
        <v>595.53</v>
      </c>
      <c r="E28" s="25">
        <f>B7*C28</f>
        <v>1501.65</v>
      </c>
      <c r="F28" s="25">
        <f t="shared" si="0"/>
        <v>2097.1800000000003</v>
      </c>
      <c r="G28" s="39">
        <v>573.042</v>
      </c>
      <c r="H28" s="39">
        <v>1392.222</v>
      </c>
      <c r="I28" s="26">
        <f t="shared" si="1"/>
        <v>1965.2640000000001</v>
      </c>
      <c r="J28" s="27">
        <f t="shared" si="2"/>
        <v>0.9622386781522342</v>
      </c>
      <c r="K28" s="27">
        <f t="shared" si="2"/>
        <v>0.9271281590250724</v>
      </c>
      <c r="L28" s="28">
        <f t="shared" si="2"/>
        <v>0.9370983892655852</v>
      </c>
      <c r="M28" s="40">
        <f>87454.14+3622.71+12789+20284.4</f>
        <v>124150.25</v>
      </c>
      <c r="N28" s="29">
        <f t="shared" si="3"/>
        <v>63.17230153302558</v>
      </c>
    </row>
    <row r="29" spans="1:14" ht="12.75">
      <c r="A29" s="31" t="s">
        <v>10</v>
      </c>
      <c r="B29" s="24">
        <v>0.03</v>
      </c>
      <c r="C29" s="24">
        <v>0.04</v>
      </c>
      <c r="D29" s="25">
        <f>B6*B29</f>
        <v>45.809999999999995</v>
      </c>
      <c r="E29" s="25">
        <f>B7*C29</f>
        <v>133.48</v>
      </c>
      <c r="F29" s="25">
        <f t="shared" si="0"/>
        <v>179.29</v>
      </c>
      <c r="G29" s="39">
        <v>40.7</v>
      </c>
      <c r="H29" s="39">
        <v>111.069</v>
      </c>
      <c r="I29" s="26">
        <f t="shared" si="1"/>
        <v>151.769</v>
      </c>
      <c r="J29" s="27">
        <f t="shared" si="2"/>
        <v>0.8884523029906135</v>
      </c>
      <c r="K29" s="27">
        <f t="shared" si="2"/>
        <v>0.8321021875936471</v>
      </c>
      <c r="L29" s="28">
        <f t="shared" si="2"/>
        <v>0.8465000836633388</v>
      </c>
      <c r="M29" s="40">
        <v>50846.4</v>
      </c>
      <c r="N29" s="29">
        <f t="shared" si="3"/>
        <v>335.0249392168361</v>
      </c>
    </row>
    <row r="30" spans="1:14" ht="12.75">
      <c r="A30" s="31" t="s">
        <v>11</v>
      </c>
      <c r="B30" s="24">
        <v>0.009</v>
      </c>
      <c r="C30" s="24">
        <v>0.011</v>
      </c>
      <c r="D30" s="25">
        <f>B6*B30</f>
        <v>13.742999999999999</v>
      </c>
      <c r="E30" s="25">
        <f>B7*C30</f>
        <v>36.707</v>
      </c>
      <c r="F30" s="25">
        <f t="shared" si="0"/>
        <v>50.45</v>
      </c>
      <c r="G30" s="39">
        <v>13.283</v>
      </c>
      <c r="H30" s="39">
        <v>35.155</v>
      </c>
      <c r="I30" s="26">
        <f t="shared" si="1"/>
        <v>48.438</v>
      </c>
      <c r="J30" s="27">
        <f t="shared" si="2"/>
        <v>0.9665284144655462</v>
      </c>
      <c r="K30" s="27">
        <f t="shared" si="2"/>
        <v>0.957719236113003</v>
      </c>
      <c r="L30" s="28">
        <f t="shared" si="2"/>
        <v>0.9601189296333003</v>
      </c>
      <c r="M30" s="40">
        <v>8670.39</v>
      </c>
      <c r="N30" s="29">
        <f t="shared" si="3"/>
        <v>178.99975226062182</v>
      </c>
    </row>
    <row r="31" spans="1:14" ht="12.75">
      <c r="A31" s="31" t="s">
        <v>12</v>
      </c>
      <c r="B31" s="24">
        <v>0.004</v>
      </c>
      <c r="C31" s="24">
        <v>0.006</v>
      </c>
      <c r="D31" s="25">
        <f>B6*B31</f>
        <v>6.1080000000000005</v>
      </c>
      <c r="E31" s="25">
        <f>B7*C31</f>
        <v>20.022000000000002</v>
      </c>
      <c r="F31" s="25">
        <f t="shared" si="0"/>
        <v>26.130000000000003</v>
      </c>
      <c r="G31" s="39">
        <v>6.841</v>
      </c>
      <c r="H31" s="39">
        <v>14.964</v>
      </c>
      <c r="I31" s="26">
        <f t="shared" si="1"/>
        <v>21.805</v>
      </c>
      <c r="J31" s="27">
        <f t="shared" si="2"/>
        <v>1.120006548788474</v>
      </c>
      <c r="K31" s="27">
        <f t="shared" si="2"/>
        <v>0.74737788432724</v>
      </c>
      <c r="L31" s="28">
        <f t="shared" si="2"/>
        <v>0.8344814389590508</v>
      </c>
      <c r="M31" s="40">
        <v>8092.8</v>
      </c>
      <c r="N31" s="29">
        <f t="shared" si="3"/>
        <v>371.14423297408854</v>
      </c>
    </row>
    <row r="32" spans="1:14" ht="12.75">
      <c r="A32" s="31" t="s">
        <v>13</v>
      </c>
      <c r="B32" s="24">
        <v>1</v>
      </c>
      <c r="C32" s="24">
        <v>1</v>
      </c>
      <c r="D32" s="25">
        <f>B6*B32</f>
        <v>1527</v>
      </c>
      <c r="E32" s="25">
        <f>B7*C32</f>
        <v>3337</v>
      </c>
      <c r="F32" s="25">
        <f t="shared" si="0"/>
        <v>4864</v>
      </c>
      <c r="G32" s="39">
        <v>1391.5</v>
      </c>
      <c r="H32" s="39">
        <v>3128.4</v>
      </c>
      <c r="I32" s="26">
        <f t="shared" si="1"/>
        <v>4519.9</v>
      </c>
      <c r="J32" s="27">
        <f t="shared" si="2"/>
        <v>0.9112639161755075</v>
      </c>
      <c r="K32" s="27">
        <f t="shared" si="2"/>
        <v>0.9374887623614024</v>
      </c>
      <c r="L32" s="28">
        <f t="shared" si="2"/>
        <v>0.9292557565789473</v>
      </c>
      <c r="M32" s="40">
        <v>24867.38</v>
      </c>
      <c r="N32" s="29">
        <f t="shared" si="3"/>
        <v>5.501754463594328</v>
      </c>
    </row>
    <row r="33" spans="1:14" ht="12.75">
      <c r="A33" s="31" t="s">
        <v>14</v>
      </c>
      <c r="B33" s="24">
        <v>0.025</v>
      </c>
      <c r="C33" s="24">
        <v>0.029</v>
      </c>
      <c r="D33" s="25">
        <f>B6*B33</f>
        <v>38.175000000000004</v>
      </c>
      <c r="E33" s="25">
        <f>B7*C33</f>
        <v>96.77300000000001</v>
      </c>
      <c r="F33" s="25">
        <f t="shared" si="0"/>
        <v>134.948</v>
      </c>
      <c r="G33" s="39">
        <v>35.174</v>
      </c>
      <c r="H33" s="39">
        <v>91.647</v>
      </c>
      <c r="I33" s="26">
        <f t="shared" si="1"/>
        <v>126.821</v>
      </c>
      <c r="J33" s="27">
        <f t="shared" si="2"/>
        <v>0.921388343156516</v>
      </c>
      <c r="K33" s="27">
        <f t="shared" si="2"/>
        <v>0.9470306800450539</v>
      </c>
      <c r="L33" s="28">
        <f t="shared" si="2"/>
        <v>0.939776802916679</v>
      </c>
      <c r="M33" s="40">
        <v>3222.24</v>
      </c>
      <c r="N33" s="29">
        <f t="shared" si="3"/>
        <v>25.407779468699978</v>
      </c>
    </row>
    <row r="34" spans="1:14" ht="12.75">
      <c r="A34" s="31" t="s">
        <v>15</v>
      </c>
      <c r="B34" s="24">
        <v>0.03</v>
      </c>
      <c r="C34" s="24">
        <v>0.043</v>
      </c>
      <c r="D34" s="25">
        <f>B6*B34</f>
        <v>45.809999999999995</v>
      </c>
      <c r="E34" s="25">
        <f>B7*C34</f>
        <v>143.49099999999999</v>
      </c>
      <c r="F34" s="25">
        <f t="shared" si="0"/>
        <v>189.301</v>
      </c>
      <c r="G34" s="39">
        <v>51.728</v>
      </c>
      <c r="H34" s="39">
        <v>138.881</v>
      </c>
      <c r="I34" s="26">
        <f t="shared" si="1"/>
        <v>190.609</v>
      </c>
      <c r="J34" s="27">
        <f t="shared" si="2"/>
        <v>1.1291857672997163</v>
      </c>
      <c r="K34" s="27">
        <f t="shared" si="2"/>
        <v>0.967872549497878</v>
      </c>
      <c r="L34" s="28">
        <f t="shared" si="2"/>
        <v>1.0069096306939742</v>
      </c>
      <c r="M34" s="40">
        <f>311.71+519.21+2210.4+521.7+766.98+33.53+102.73+164.53+646.39+4180.73</f>
        <v>9457.91</v>
      </c>
      <c r="N34" s="29">
        <f t="shared" si="3"/>
        <v>49.61943035218693</v>
      </c>
    </row>
    <row r="35" spans="1:14" ht="12.75">
      <c r="A35" s="31" t="s">
        <v>16</v>
      </c>
      <c r="B35" s="24">
        <v>0.008</v>
      </c>
      <c r="C35" s="24">
        <v>0.012</v>
      </c>
      <c r="D35" s="25">
        <f>B6*B35</f>
        <v>12.216000000000001</v>
      </c>
      <c r="E35" s="25">
        <f>B7*C35</f>
        <v>40.044000000000004</v>
      </c>
      <c r="F35" s="25">
        <f t="shared" si="0"/>
        <v>52.260000000000005</v>
      </c>
      <c r="G35" s="39">
        <v>13.468</v>
      </c>
      <c r="H35" s="39">
        <v>36.358</v>
      </c>
      <c r="I35" s="26">
        <f t="shared" si="1"/>
        <v>49.82599999999999</v>
      </c>
      <c r="J35" s="27">
        <f t="shared" si="2"/>
        <v>1.1024885396201702</v>
      </c>
      <c r="K35" s="27">
        <f t="shared" si="2"/>
        <v>0.9079512536210167</v>
      </c>
      <c r="L35" s="28">
        <f t="shared" si="2"/>
        <v>0.9534251817833905</v>
      </c>
      <c r="M35" s="40">
        <v>1999.17</v>
      </c>
      <c r="N35" s="29">
        <f t="shared" si="3"/>
        <v>40.12302813791997</v>
      </c>
    </row>
    <row r="36" spans="1:14" ht="12.75">
      <c r="A36" s="31" t="s">
        <v>17</v>
      </c>
      <c r="B36" s="24">
        <v>0.025</v>
      </c>
      <c r="C36" s="24">
        <v>0.03</v>
      </c>
      <c r="D36" s="25">
        <f>B6*B36</f>
        <v>38.175000000000004</v>
      </c>
      <c r="E36" s="25">
        <f>B7*C36</f>
        <v>100.11</v>
      </c>
      <c r="F36" s="25">
        <f>D36+E36</f>
        <v>138.285</v>
      </c>
      <c r="G36" s="39">
        <v>36.269</v>
      </c>
      <c r="H36" s="39">
        <v>98.181</v>
      </c>
      <c r="I36" s="26">
        <f t="shared" si="1"/>
        <v>134.45</v>
      </c>
      <c r="J36" s="27">
        <f t="shared" si="2"/>
        <v>0.9500720366732153</v>
      </c>
      <c r="K36" s="27">
        <f t="shared" si="2"/>
        <v>0.9807311956847468</v>
      </c>
      <c r="L36" s="28">
        <f t="shared" si="2"/>
        <v>0.972267418736667</v>
      </c>
      <c r="M36" s="40">
        <v>9454.11</v>
      </c>
      <c r="N36" s="29">
        <f t="shared" si="3"/>
        <v>70.31692078839718</v>
      </c>
    </row>
    <row r="37" spans="1:14" ht="12.75">
      <c r="A37" s="31" t="s">
        <v>18</v>
      </c>
      <c r="B37" s="24">
        <v>0.012</v>
      </c>
      <c r="C37" s="24">
        <v>0.02</v>
      </c>
      <c r="D37" s="25">
        <f>B6*B37</f>
        <v>18.324</v>
      </c>
      <c r="E37" s="25">
        <f>B7*C37</f>
        <v>66.74</v>
      </c>
      <c r="F37" s="25">
        <f t="shared" si="0"/>
        <v>85.064</v>
      </c>
      <c r="G37" s="39">
        <v>8.322</v>
      </c>
      <c r="H37" s="39">
        <v>26.666</v>
      </c>
      <c r="I37" s="26">
        <f t="shared" si="1"/>
        <v>34.988</v>
      </c>
      <c r="J37" s="27">
        <f t="shared" si="2"/>
        <v>0.4541584806810739</v>
      </c>
      <c r="K37" s="27">
        <f t="shared" si="2"/>
        <v>0.3995504944560983</v>
      </c>
      <c r="L37" s="28">
        <f t="shared" si="2"/>
        <v>0.4113138342894762</v>
      </c>
      <c r="M37" s="40">
        <f>2397.28+1454.9</f>
        <v>3852.1800000000003</v>
      </c>
      <c r="N37" s="29">
        <f t="shared" si="3"/>
        <v>110.10003429747343</v>
      </c>
    </row>
    <row r="38" spans="1:14" ht="12.75">
      <c r="A38" s="31" t="s">
        <v>19</v>
      </c>
      <c r="B38" s="24">
        <v>0.009</v>
      </c>
      <c r="C38" s="24">
        <v>0.011</v>
      </c>
      <c r="D38" s="25">
        <f>B6*B38</f>
        <v>13.742999999999999</v>
      </c>
      <c r="E38" s="25">
        <f>B7*C38</f>
        <v>36.707</v>
      </c>
      <c r="F38" s="25">
        <f t="shared" si="0"/>
        <v>50.45</v>
      </c>
      <c r="G38" s="39">
        <v>13.777</v>
      </c>
      <c r="H38" s="39">
        <v>38.142</v>
      </c>
      <c r="I38" s="26">
        <f t="shared" si="1"/>
        <v>51.919000000000004</v>
      </c>
      <c r="J38" s="27">
        <f t="shared" si="2"/>
        <v>1.0024739867568944</v>
      </c>
      <c r="K38" s="27">
        <f t="shared" si="2"/>
        <v>1.0390933609393305</v>
      </c>
      <c r="L38" s="28">
        <f t="shared" si="2"/>
        <v>1.029117938553023</v>
      </c>
      <c r="M38" s="40">
        <f>2441.2+4269.81</f>
        <v>6711.01</v>
      </c>
      <c r="N38" s="29">
        <f t="shared" si="3"/>
        <v>129.25923072478284</v>
      </c>
    </row>
    <row r="39" spans="1:14" ht="12.75">
      <c r="A39" s="31" t="s">
        <v>20</v>
      </c>
      <c r="B39" s="24">
        <v>0.095</v>
      </c>
      <c r="C39" s="24">
        <v>0.1</v>
      </c>
      <c r="D39" s="25">
        <f>B6*B39</f>
        <v>145.065</v>
      </c>
      <c r="E39" s="25">
        <f>B7*C39</f>
        <v>333.70000000000005</v>
      </c>
      <c r="F39" s="25">
        <f t="shared" si="0"/>
        <v>478.76500000000004</v>
      </c>
      <c r="G39" s="39">
        <v>138.35</v>
      </c>
      <c r="H39" s="39">
        <f>101.664+39.063+16.432+3.784+164.365</f>
        <v>325.308</v>
      </c>
      <c r="I39" s="26">
        <f t="shared" si="1"/>
        <v>463.658</v>
      </c>
      <c r="J39" s="27">
        <f t="shared" si="2"/>
        <v>0.9537104056802123</v>
      </c>
      <c r="K39" s="27">
        <f t="shared" si="2"/>
        <v>0.9748516631705123</v>
      </c>
      <c r="L39" s="28">
        <f t="shared" si="2"/>
        <v>0.9684458972564828</v>
      </c>
      <c r="M39" s="40">
        <f>25476+6688.8+3921.33+900.73+17104.46</f>
        <v>54091.32</v>
      </c>
      <c r="N39" s="29">
        <f t="shared" si="3"/>
        <v>116.6621087094367</v>
      </c>
    </row>
    <row r="40" spans="1:14" ht="12.75">
      <c r="A40" s="31" t="s">
        <v>21</v>
      </c>
      <c r="B40" s="24">
        <v>0.1</v>
      </c>
      <c r="C40" s="24">
        <v>0.1</v>
      </c>
      <c r="D40" s="25">
        <f>B6*B40</f>
        <v>152.70000000000002</v>
      </c>
      <c r="E40" s="25">
        <f>B7*C40</f>
        <v>333.70000000000005</v>
      </c>
      <c r="F40" s="25">
        <f t="shared" si="0"/>
        <v>486.4000000000001</v>
      </c>
      <c r="G40" s="39">
        <v>118.8</v>
      </c>
      <c r="H40" s="39">
        <v>316.4</v>
      </c>
      <c r="I40" s="26">
        <f t="shared" si="1"/>
        <v>435.2</v>
      </c>
      <c r="J40" s="27">
        <f t="shared" si="2"/>
        <v>0.7779960707269155</v>
      </c>
      <c r="K40" s="27">
        <f t="shared" si="2"/>
        <v>0.9481570272700028</v>
      </c>
      <c r="L40" s="28">
        <f t="shared" si="2"/>
        <v>0.8947368421052629</v>
      </c>
      <c r="M40" s="40">
        <f>13407.85+10257.39</f>
        <v>23665.239999999998</v>
      </c>
      <c r="N40" s="29">
        <f t="shared" si="3"/>
        <v>54.37784926470588</v>
      </c>
    </row>
    <row r="41" spans="1:14" ht="12.75">
      <c r="A41" s="31" t="s">
        <v>22</v>
      </c>
      <c r="B41" s="63">
        <v>0.12</v>
      </c>
      <c r="C41" s="63">
        <v>0.14</v>
      </c>
      <c r="D41" s="25">
        <f>B6*B41</f>
        <v>183.23999999999998</v>
      </c>
      <c r="E41" s="25">
        <f>B7*C41</f>
        <v>467.18000000000006</v>
      </c>
      <c r="F41" s="25">
        <f t="shared" si="0"/>
        <v>650.4200000000001</v>
      </c>
      <c r="G41" s="39">
        <v>158.845</v>
      </c>
      <c r="H41" s="39">
        <v>430.253</v>
      </c>
      <c r="I41" s="26">
        <f t="shared" si="1"/>
        <v>589.098</v>
      </c>
      <c r="J41" s="27">
        <f t="shared" si="2"/>
        <v>0.8668685876446192</v>
      </c>
      <c r="K41" s="27">
        <f t="shared" si="2"/>
        <v>0.9209576608587695</v>
      </c>
      <c r="L41" s="28">
        <f t="shared" si="2"/>
        <v>0.9057193813228374</v>
      </c>
      <c r="M41" s="40">
        <v>23894.85</v>
      </c>
      <c r="N41" s="29">
        <f t="shared" si="3"/>
        <v>40.56175712699755</v>
      </c>
    </row>
    <row r="42" spans="1:14" ht="12.75">
      <c r="A42" s="31" t="s">
        <v>23</v>
      </c>
      <c r="B42" s="24">
        <v>0.18</v>
      </c>
      <c r="C42" s="24">
        <v>0.22</v>
      </c>
      <c r="D42" s="25">
        <f>B6*B42</f>
        <v>274.86</v>
      </c>
      <c r="E42" s="25">
        <f>B7*C42</f>
        <v>734.14</v>
      </c>
      <c r="F42" s="25">
        <f t="shared" si="0"/>
        <v>1009</v>
      </c>
      <c r="G42" s="39">
        <v>246.06</v>
      </c>
      <c r="H42" s="39">
        <v>701.813</v>
      </c>
      <c r="I42" s="26">
        <f t="shared" si="1"/>
        <v>947.873</v>
      </c>
      <c r="J42" s="27">
        <f t="shared" si="2"/>
        <v>0.8952193844138834</v>
      </c>
      <c r="K42" s="27">
        <f t="shared" si="2"/>
        <v>0.9559661644917863</v>
      </c>
      <c r="L42" s="28">
        <f t="shared" si="2"/>
        <v>0.939418235877106</v>
      </c>
      <c r="M42" s="40">
        <f>12634.17+2387.7+9154.63+5479.87+4369.82+3930.09+1015.44+5658.66+1222.27+2252.76+1214.86+1744.96+3466.51</f>
        <v>54531.740000000005</v>
      </c>
      <c r="N42" s="29">
        <f t="shared" si="3"/>
        <v>57.53063965320249</v>
      </c>
    </row>
    <row r="43" spans="1:14" ht="12.75">
      <c r="A43" s="31" t="s">
        <v>24</v>
      </c>
      <c r="B43" s="24">
        <v>0.04</v>
      </c>
      <c r="C43" s="24">
        <v>0.05</v>
      </c>
      <c r="D43" s="25">
        <f>B6*B43</f>
        <v>61.08</v>
      </c>
      <c r="E43" s="25">
        <f>B7*C43</f>
        <v>166.85000000000002</v>
      </c>
      <c r="F43" s="25">
        <f t="shared" si="0"/>
        <v>227.93</v>
      </c>
      <c r="G43" s="39">
        <v>60.956</v>
      </c>
      <c r="H43" s="39">
        <v>151.88</v>
      </c>
      <c r="I43" s="26">
        <f t="shared" si="1"/>
        <v>212.836</v>
      </c>
      <c r="J43" s="27">
        <f t="shared" si="2"/>
        <v>0.9979698755730191</v>
      </c>
      <c r="K43" s="27">
        <f t="shared" si="2"/>
        <v>0.9102786934372189</v>
      </c>
      <c r="L43" s="28">
        <f t="shared" si="2"/>
        <v>0.9337779142719256</v>
      </c>
      <c r="M43" s="40">
        <v>11625.29</v>
      </c>
      <c r="N43" s="29">
        <f t="shared" si="3"/>
        <v>54.62088180570956</v>
      </c>
    </row>
    <row r="44" spans="1:14" ht="12.75">
      <c r="A44" s="32" t="s">
        <v>25</v>
      </c>
      <c r="B44" s="64">
        <v>0.06</v>
      </c>
      <c r="C44" s="64">
        <v>0.08</v>
      </c>
      <c r="D44" s="25">
        <f>B6*B44</f>
        <v>91.61999999999999</v>
      </c>
      <c r="E44" s="25">
        <f>B7*C44</f>
        <v>266.96</v>
      </c>
      <c r="F44" s="25">
        <f>D44+E44</f>
        <v>358.58</v>
      </c>
      <c r="G44" s="39">
        <f>45.73+38.317</f>
        <v>84.047</v>
      </c>
      <c r="H44" s="39">
        <v>228.115</v>
      </c>
      <c r="I44" s="26">
        <f>G44+H44</f>
        <v>312.16200000000003</v>
      </c>
      <c r="J44" s="27">
        <f t="shared" si="2"/>
        <v>0.9173433748089938</v>
      </c>
      <c r="K44" s="27">
        <f t="shared" si="2"/>
        <v>0.8544913095594847</v>
      </c>
      <c r="L44" s="28">
        <f t="shared" si="2"/>
        <v>0.8705505047688105</v>
      </c>
      <c r="M44" s="40">
        <f>9563.15+12629.5</f>
        <v>22192.65</v>
      </c>
      <c r="N44" s="29">
        <f>IF(I44&gt;0,M44/I44,0)</f>
        <v>71.09337459396083</v>
      </c>
    </row>
    <row r="45" spans="1:14" s="20" customFormat="1" ht="12.75">
      <c r="A45" s="44" t="s">
        <v>54</v>
      </c>
      <c r="B45" s="45"/>
      <c r="C45" s="45"/>
      <c r="D45" s="46">
        <f>SUM(D22:D44)</f>
        <v>3490.7219999999998</v>
      </c>
      <c r="E45" s="46">
        <f>SUM(E22:E44)</f>
        <v>8392.555</v>
      </c>
      <c r="F45" s="46">
        <f>D45+E45</f>
        <v>11883.277</v>
      </c>
      <c r="G45" s="56">
        <f>SUM(G22:G44)</f>
        <v>3200.619</v>
      </c>
      <c r="H45" s="56">
        <f>SUM(H22:H44)</f>
        <v>7817.465999999999</v>
      </c>
      <c r="I45" s="47">
        <f>G45+H45</f>
        <v>11018.085</v>
      </c>
      <c r="J45" s="59">
        <f>IF(G45&gt;0,G45/D45,0)</f>
        <v>0.9168931241158707</v>
      </c>
      <c r="K45" s="59">
        <f>IF(E45&gt;0,H45/E45,0)</f>
        <v>0.9314762905932698</v>
      </c>
      <c r="L45" s="59">
        <f>IF(F45&gt;0,I45/F45,0)</f>
        <v>0.9271924739278566</v>
      </c>
      <c r="M45" s="57">
        <f>SUM(SUM(M22:M44))</f>
        <v>673323.24</v>
      </c>
      <c r="N45" s="60"/>
    </row>
    <row r="46" ht="13.5" thickBot="1"/>
    <row r="47" spans="1:14" s="37" customFormat="1" ht="21" customHeight="1" thickBot="1">
      <c r="A47" s="33" t="s">
        <v>48</v>
      </c>
      <c r="B47" s="34">
        <f>SUM(B22:B24)</f>
        <v>0.09000000000000001</v>
      </c>
      <c r="C47" s="34">
        <f>SUM(C22:C24)</f>
        <v>0.10400000000000001</v>
      </c>
      <c r="D47" s="35">
        <f aca="true" t="shared" si="4" ref="D47:I47">SUM(D22:D24)</f>
        <v>137.43</v>
      </c>
      <c r="E47" s="35">
        <f t="shared" si="4"/>
        <v>347.048</v>
      </c>
      <c r="F47" s="35">
        <f t="shared" si="4"/>
        <v>484.47800000000007</v>
      </c>
      <c r="G47" s="35">
        <f t="shared" si="4"/>
        <v>121.82399999999998</v>
      </c>
      <c r="H47" s="35">
        <f t="shared" si="4"/>
        <v>327.661</v>
      </c>
      <c r="I47" s="35">
        <f t="shared" si="4"/>
        <v>449.485</v>
      </c>
      <c r="J47" s="61">
        <f>IF(G47=0,0,G47/D47)</f>
        <v>0.886444007858546</v>
      </c>
      <c r="K47" s="61">
        <f>IF(H47=0,0,H47/E47)</f>
        <v>0.9441374103870358</v>
      </c>
      <c r="L47" s="61">
        <f>IF(I47&gt;0,I47/F47,0)</f>
        <v>0.9277717460854775</v>
      </c>
      <c r="M47" s="58">
        <f>SUM(M22:M24)</f>
        <v>120712.39</v>
      </c>
      <c r="N47" s="36">
        <f>IF(M47=0,0,M47/I47)</f>
        <v>268.55710424152085</v>
      </c>
    </row>
  </sheetData>
  <sheetProtection password="CC53" sheet="1" formatCells="0" formatColumns="0" formatRows="0" insertColumns="0" insertRows="0" insertHyperlinks="0" deleteColumns="0" deleteRows="0" sort="0" autoFilter="0" pivotTables="0"/>
  <mergeCells count="19">
    <mergeCell ref="M20:M21"/>
    <mergeCell ref="E2:G2"/>
    <mergeCell ref="A15:B15"/>
    <mergeCell ref="L15:M15"/>
    <mergeCell ref="C8:C10"/>
    <mergeCell ref="D8:F10"/>
    <mergeCell ref="A11:B11"/>
    <mergeCell ref="L13:N13"/>
    <mergeCell ref="L14:M14"/>
    <mergeCell ref="A1:G1"/>
    <mergeCell ref="L16:M16"/>
    <mergeCell ref="L17:M17"/>
    <mergeCell ref="A19:N19"/>
    <mergeCell ref="A20:A21"/>
    <mergeCell ref="B20:C20"/>
    <mergeCell ref="D20:F20"/>
    <mergeCell ref="G20:I20"/>
    <mergeCell ref="N20:N21"/>
    <mergeCell ref="J20:L20"/>
  </mergeCells>
  <printOptions horizontalCentered="1"/>
  <pageMargins left="0.31496062992125984" right="0.31496062992125984" top="0.9448818897637796" bottom="0.15748031496062992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Us409</dc:creator>
  <cp:keywords/>
  <dc:description/>
  <cp:lastModifiedBy>Пользователь</cp:lastModifiedBy>
  <cp:lastPrinted>2022-04-05T08:42:14Z</cp:lastPrinted>
  <dcterms:created xsi:type="dcterms:W3CDTF">2011-01-31T05:59:24Z</dcterms:created>
  <dcterms:modified xsi:type="dcterms:W3CDTF">2024-01-09T06:21:04Z</dcterms:modified>
  <cp:category/>
  <cp:version/>
  <cp:contentType/>
  <cp:contentStatus/>
</cp:coreProperties>
</file>